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март" sheetId="1" r:id="rId1"/>
  </sheets>
  <definedNames>
    <definedName name="_xlnm.Print_Area" localSheetId="0">'март'!$A$1:$AS$260</definedName>
  </definedNames>
  <calcPr fullCalcOnLoad="1"/>
</workbook>
</file>

<file path=xl/comments1.xml><?xml version="1.0" encoding="utf-8"?>
<comments xmlns="http://schemas.openxmlformats.org/spreadsheetml/2006/main">
  <authors>
    <author>SGGIDYAEV</author>
    <author>Timur</author>
    <author>Татьяна</author>
  </authors>
  <commentList>
    <comment ref="AP4" authorId="0">
      <text>
        <r>
          <rPr>
            <b/>
            <sz val="8"/>
            <rFont val="Tahoma"/>
            <family val="2"/>
          </rPr>
          <t>SGGIDYAEV:</t>
        </r>
        <r>
          <rPr>
            <sz val="8"/>
            <rFont val="Tahoma"/>
            <family val="2"/>
          </rPr>
          <t xml:space="preserve">
п</t>
        </r>
        <r>
          <rPr>
            <sz val="10"/>
            <rFont val="Tahoma"/>
            <family val="2"/>
          </rPr>
          <t xml:space="preserve">ри вводе объектов мощность источника пересматривается </t>
        </r>
        <r>
          <rPr>
            <sz val="10"/>
            <rFont val="Arial Cyr"/>
            <family val="0"/>
          </rPr>
          <t>≥</t>
        </r>
      </text>
    </comment>
    <comment ref="AQ4" authorId="0">
      <text>
        <r>
          <rPr>
            <b/>
            <sz val="8"/>
            <rFont val="Tahoma"/>
            <family val="2"/>
          </rPr>
          <t xml:space="preserve">SGGIDYAEV:
</t>
        </r>
        <r>
          <rPr>
            <b/>
            <sz val="10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при вводе объекта в эксплуатацию его мощность по ТУ убирается и по факту потребления  переходит в столб. 9</t>
        </r>
      </text>
    </comment>
    <comment ref="AP7" authorId="0">
      <text>
        <r>
          <rPr>
            <b/>
            <sz val="8"/>
            <rFont val="Tahoma"/>
            <family val="2"/>
          </rPr>
          <t>SGGIDYAEV: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7987кВт сумма 1.1, 1.15
11973 мах. Факт потребления по вводным ячейкам ЗРУ-6кВ</t>
        </r>
      </text>
    </comment>
    <comment ref="G55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55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AO89" authorId="0">
      <text>
        <r>
          <rPr>
            <b/>
            <sz val="10"/>
            <rFont val="Tahoma"/>
            <family val="2"/>
          </rPr>
          <t>SGGIDYAEV:</t>
        </r>
        <r>
          <rPr>
            <sz val="10"/>
            <rFont val="Tahoma"/>
            <family val="2"/>
          </rPr>
          <t xml:space="preserve">
яч.1.7 Новоуренгойская</t>
        </r>
      </text>
    </comment>
    <comment ref="G132" authorId="2">
      <text>
        <r>
          <rPr>
            <sz val="8"/>
            <rFont val="Tahoma"/>
            <family val="2"/>
          </rPr>
          <t xml:space="preserve">RM-6
 Merlin Gerin
</t>
        </r>
      </text>
    </comment>
    <comment ref="H132" authorId="2">
      <text>
        <r>
          <rPr>
            <sz val="8"/>
            <rFont val="Tahoma"/>
            <family val="2"/>
          </rPr>
          <t xml:space="preserve">RM-6
 Merlin Gerin
</t>
        </r>
      </text>
    </comment>
    <comment ref="G135" authorId="2">
      <text>
        <r>
          <rPr>
            <sz val="8"/>
            <rFont val="Tahoma"/>
            <family val="2"/>
          </rPr>
          <t xml:space="preserve">RM-6
 Merlin Gerin
</t>
        </r>
      </text>
    </comment>
    <comment ref="H135" authorId="2">
      <text>
        <r>
          <rPr>
            <sz val="8"/>
            <rFont val="Tahoma"/>
            <family val="2"/>
          </rPr>
          <t xml:space="preserve">RM-6
 Merlin Gerin
</t>
        </r>
      </text>
    </comment>
    <comment ref="G163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163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G177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177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G147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147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G162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162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G110" authorId="2">
      <text>
        <r>
          <rPr>
            <sz val="8"/>
            <rFont val="Tahoma"/>
            <family val="2"/>
          </rPr>
          <t xml:space="preserve">
RM-6 Merlin Gerin
</t>
        </r>
      </text>
    </comment>
    <comment ref="H110" authorId="2">
      <text>
        <r>
          <rPr>
            <sz val="8"/>
            <rFont val="Tahoma"/>
            <family val="2"/>
          </rPr>
          <t xml:space="preserve">
RM-6 Merlin Gerin
</t>
        </r>
      </text>
    </comment>
    <comment ref="G111" authorId="2">
      <text>
        <r>
          <rPr>
            <sz val="8"/>
            <rFont val="Tahoma"/>
            <family val="2"/>
          </rPr>
          <t xml:space="preserve">
RM-6 Merlin Gerin</t>
        </r>
      </text>
    </comment>
    <comment ref="H111" authorId="2">
      <text>
        <r>
          <rPr>
            <sz val="8"/>
            <rFont val="Tahoma"/>
            <family val="2"/>
          </rPr>
          <t xml:space="preserve">
RM-6 Merlin Gerin</t>
        </r>
      </text>
    </comment>
    <comment ref="G112" authorId="2">
      <text>
        <r>
          <rPr>
            <sz val="8"/>
            <rFont val="Tahoma"/>
            <family val="2"/>
          </rPr>
          <t xml:space="preserve">
RM-6 Merlin Gerin
</t>
        </r>
      </text>
    </comment>
    <comment ref="H112" authorId="2">
      <text>
        <r>
          <rPr>
            <sz val="8"/>
            <rFont val="Tahoma"/>
            <family val="2"/>
          </rPr>
          <t xml:space="preserve">
RM-6 Merlin Gerin
</t>
        </r>
      </text>
    </comment>
    <comment ref="G113" authorId="2">
      <text>
        <r>
          <rPr>
            <sz val="8"/>
            <rFont val="Tahoma"/>
            <family val="2"/>
          </rPr>
          <t xml:space="preserve">
RM-6 Merlin Gerin</t>
        </r>
      </text>
    </comment>
    <comment ref="H113" authorId="2">
      <text>
        <r>
          <rPr>
            <sz val="8"/>
            <rFont val="Tahoma"/>
            <family val="2"/>
          </rPr>
          <t xml:space="preserve">
RM-6 Merlin Gerin</t>
        </r>
      </text>
    </comment>
  </commentList>
</comments>
</file>

<file path=xl/sharedStrings.xml><?xml version="1.0" encoding="utf-8"?>
<sst xmlns="http://schemas.openxmlformats.org/spreadsheetml/2006/main" count="1468" uniqueCount="704">
  <si>
    <t>ТМ</t>
  </si>
  <si>
    <t>ТМГ</t>
  </si>
  <si>
    <t>TON</t>
  </si>
  <si>
    <t>ТМЗ</t>
  </si>
  <si>
    <t>ТМФ</t>
  </si>
  <si>
    <t>ТМЗ/ТМ</t>
  </si>
  <si>
    <t>630/400</t>
  </si>
  <si>
    <t>ТТ</t>
  </si>
  <si>
    <t>№ п/п</t>
  </si>
  <si>
    <t>Диспетчерское наименование</t>
  </si>
  <si>
    <t>Восточная промзона</t>
  </si>
  <si>
    <t>ПС Поселок</t>
  </si>
  <si>
    <t>Пос. Тюменьгазпром</t>
  </si>
  <si>
    <t>ПС Город</t>
  </si>
  <si>
    <t>Южная коммунальная зона</t>
  </si>
  <si>
    <t>ПС Водозабор</t>
  </si>
  <si>
    <t>Городской водозабор</t>
  </si>
  <si>
    <t>ПС Водозабор-2</t>
  </si>
  <si>
    <t>Восточная промзона, ПАЭС</t>
  </si>
  <si>
    <t>РП-1</t>
  </si>
  <si>
    <t>I микрорайон</t>
  </si>
  <si>
    <t>РП-2</t>
  </si>
  <si>
    <t>II микрорайон</t>
  </si>
  <si>
    <t>РП-3</t>
  </si>
  <si>
    <t>Мкр. Строителей</t>
  </si>
  <si>
    <t>РП-5</t>
  </si>
  <si>
    <t>РП-6</t>
  </si>
  <si>
    <t>РП-8</t>
  </si>
  <si>
    <t>Мкр. Студенческий, со встроенной ТП</t>
  </si>
  <si>
    <t>РП-12</t>
  </si>
  <si>
    <t>КОС</t>
  </si>
  <si>
    <t>РП-14</t>
  </si>
  <si>
    <t>Мкр. Юбилейный</t>
  </si>
  <si>
    <t>РП-15</t>
  </si>
  <si>
    <t>Мкр. Советский</t>
  </si>
  <si>
    <t>ТП-2</t>
  </si>
  <si>
    <t>3 квартал МЭЗ</t>
  </si>
  <si>
    <t>ТП-3</t>
  </si>
  <si>
    <t>IVA микрорайон, ГОВД</t>
  </si>
  <si>
    <t>ТП-4</t>
  </si>
  <si>
    <t>1 квартал МЭЗ</t>
  </si>
  <si>
    <t>МУП ТП-6</t>
  </si>
  <si>
    <t>ТП-6</t>
  </si>
  <si>
    <t>Южная коммунальная зона, ГКНС</t>
  </si>
  <si>
    <t>ТП-9</t>
  </si>
  <si>
    <t>IVA микрорайон</t>
  </si>
  <si>
    <t>ТП-10</t>
  </si>
  <si>
    <t>ТП-11А</t>
  </si>
  <si>
    <t>IVA микрорайон, РК-3</t>
  </si>
  <si>
    <t>ТП-13</t>
  </si>
  <si>
    <t>Южная коммунальная зона, встроенная в РП-3</t>
  </si>
  <si>
    <t>ТП-14</t>
  </si>
  <si>
    <t>ТП-18</t>
  </si>
  <si>
    <t>ТП-20</t>
  </si>
  <si>
    <t>Восточная промзона, ул. Индустриальная</t>
  </si>
  <si>
    <t>ТП-21</t>
  </si>
  <si>
    <t>ТП-22</t>
  </si>
  <si>
    <t>ТП-23</t>
  </si>
  <si>
    <t>ТП-24</t>
  </si>
  <si>
    <t>ТП-7Б новая</t>
  </si>
  <si>
    <t>ТП-25</t>
  </si>
  <si>
    <t>МУП ТП-5</t>
  </si>
  <si>
    <t>ТП-26</t>
  </si>
  <si>
    <t>ТП-7</t>
  </si>
  <si>
    <t>ТП-28 Ямал</t>
  </si>
  <si>
    <t>IV микрорайон</t>
  </si>
  <si>
    <t>ТП-29</t>
  </si>
  <si>
    <t>ТП-30</t>
  </si>
  <si>
    <t>ТП-31</t>
  </si>
  <si>
    <t>ТП-32</t>
  </si>
  <si>
    <t>ТП-11,12</t>
  </si>
  <si>
    <t>Мкр. Монтажник</t>
  </si>
  <si>
    <t>ТП-33</t>
  </si>
  <si>
    <t>ТП-63</t>
  </si>
  <si>
    <t>ТП-40</t>
  </si>
  <si>
    <t>ТП-41</t>
  </si>
  <si>
    <t>ТП-42</t>
  </si>
  <si>
    <t>ТП-43</t>
  </si>
  <si>
    <t>ТП-44</t>
  </si>
  <si>
    <t>ТП-45</t>
  </si>
  <si>
    <t>ТП-47</t>
  </si>
  <si>
    <t>4 квартал МЭЗ</t>
  </si>
  <si>
    <t>ТП-48</t>
  </si>
  <si>
    <t>ТП-49</t>
  </si>
  <si>
    <t>2 квартал МЭЗ</t>
  </si>
  <si>
    <t>ТП-49А</t>
  </si>
  <si>
    <t>ТП-50</t>
  </si>
  <si>
    <t>Пос. Заозёрный</t>
  </si>
  <si>
    <t>ТП-17</t>
  </si>
  <si>
    <t>СМП 700</t>
  </si>
  <si>
    <t>ТП-57</t>
  </si>
  <si>
    <t>ТП-24/4</t>
  </si>
  <si>
    <t>ТП-58</t>
  </si>
  <si>
    <t>Мкр. Солнечный</t>
  </si>
  <si>
    <t>ТП-167А</t>
  </si>
  <si>
    <t>ТП-60</t>
  </si>
  <si>
    <t>ТП-61</t>
  </si>
  <si>
    <t>ТП-62</t>
  </si>
  <si>
    <t>ТП-21А</t>
  </si>
  <si>
    <t>ТП-23 МЧС</t>
  </si>
  <si>
    <t>Пос. Энергетик</t>
  </si>
  <si>
    <t>ТП-71</t>
  </si>
  <si>
    <t>ТП-МК-105</t>
  </si>
  <si>
    <t>МК-105</t>
  </si>
  <si>
    <t>ТП-126</t>
  </si>
  <si>
    <t>МК 126</t>
  </si>
  <si>
    <t>МК-126</t>
  </si>
  <si>
    <t>ТП-144</t>
  </si>
  <si>
    <t>МК 144</t>
  </si>
  <si>
    <t>МК-144</t>
  </si>
  <si>
    <t>ТП-150</t>
  </si>
  <si>
    <t>III микрорайон</t>
  </si>
  <si>
    <t>ТП-151</t>
  </si>
  <si>
    <t>ТП-152</t>
  </si>
  <si>
    <t>ТП-153</t>
  </si>
  <si>
    <t>ТП-155</t>
  </si>
  <si>
    <t>ТП-156</t>
  </si>
  <si>
    <t>ТП-157</t>
  </si>
  <si>
    <t>ТП-158</t>
  </si>
  <si>
    <t>III микрорайон, РП-2</t>
  </si>
  <si>
    <t>ТП-159</t>
  </si>
  <si>
    <t>ТП-160</t>
  </si>
  <si>
    <t>ТП-162</t>
  </si>
  <si>
    <t>ТП-164</t>
  </si>
  <si>
    <t>ТП-165</t>
  </si>
  <si>
    <t>ТП-166</t>
  </si>
  <si>
    <t>ТП-168</t>
  </si>
  <si>
    <t>ТП-169</t>
  </si>
  <si>
    <t>ТП-171</t>
  </si>
  <si>
    <t>8 квартал МЭЗ</t>
  </si>
  <si>
    <t>ТП-172</t>
  </si>
  <si>
    <t>ТП-173</t>
  </si>
  <si>
    <t>ТП-174</t>
  </si>
  <si>
    <t>ТП-180</t>
  </si>
  <si>
    <t>Мкр. Оптимистов</t>
  </si>
  <si>
    <t>ТП-181</t>
  </si>
  <si>
    <t>ТП-201</t>
  </si>
  <si>
    <t>Западная промзона</t>
  </si>
  <si>
    <t>ТП-210</t>
  </si>
  <si>
    <t>ТП-ТБО</t>
  </si>
  <si>
    <t>Район УКПГ-1</t>
  </si>
  <si>
    <t>ТП-211</t>
  </si>
  <si>
    <t>ТП-КЛД</t>
  </si>
  <si>
    <t>Радио релейная связь</t>
  </si>
  <si>
    <t>ТП-301</t>
  </si>
  <si>
    <t>ТП-302</t>
  </si>
  <si>
    <t>ТП-303</t>
  </si>
  <si>
    <t>ТП-304</t>
  </si>
  <si>
    <t>ТП-305</t>
  </si>
  <si>
    <t>ТП-306</t>
  </si>
  <si>
    <t>ТП-307</t>
  </si>
  <si>
    <t>ТП-310</t>
  </si>
  <si>
    <t>ТП-311</t>
  </si>
  <si>
    <t>ТП-312</t>
  </si>
  <si>
    <t>ТП-313</t>
  </si>
  <si>
    <t>ТП-314</t>
  </si>
  <si>
    <t>ТП-315</t>
  </si>
  <si>
    <t>ТП-316</t>
  </si>
  <si>
    <t>ТП-321</t>
  </si>
  <si>
    <t>Мкр. Мирный</t>
  </si>
  <si>
    <t>ТП-322</t>
  </si>
  <si>
    <t>ТП-323</t>
  </si>
  <si>
    <t>ТП-324</t>
  </si>
  <si>
    <t>ТП-325</t>
  </si>
  <si>
    <t>ТП-326</t>
  </si>
  <si>
    <t>ТП-327</t>
  </si>
  <si>
    <t>ТП-330</t>
  </si>
  <si>
    <t>Мкр. Восточный</t>
  </si>
  <si>
    <t>ТП-331</t>
  </si>
  <si>
    <t>ТП-332</t>
  </si>
  <si>
    <t>ТП-333</t>
  </si>
  <si>
    <t>ТП-334</t>
  </si>
  <si>
    <t>ТП-190</t>
  </si>
  <si>
    <t>ТП-335</t>
  </si>
  <si>
    <t>ТП-336</t>
  </si>
  <si>
    <t>ТП-340</t>
  </si>
  <si>
    <t>ТП-341</t>
  </si>
  <si>
    <t>ТП-353</t>
  </si>
  <si>
    <t>Северная коммунальная зона, пождепо</t>
  </si>
  <si>
    <t>Трансформатор</t>
  </si>
  <si>
    <t>Тип</t>
  </si>
  <si>
    <t>Мощность, кВА</t>
  </si>
  <si>
    <t>Местонахождение объекта</t>
  </si>
  <si>
    <t>Разрядники, шт</t>
  </si>
  <si>
    <t xml:space="preserve">TON-4000/35-6 </t>
  </si>
  <si>
    <t xml:space="preserve">ТМН-6300-35/6 </t>
  </si>
  <si>
    <t>ТП-25А</t>
  </si>
  <si>
    <t>ПАЭС ЗРУ-2-6/10</t>
  </si>
  <si>
    <t>ПАЭС ЗРУ-1-6</t>
  </si>
  <si>
    <t>в РП-3</t>
  </si>
  <si>
    <t xml:space="preserve">ТМН-16000-110/6    </t>
  </si>
  <si>
    <t>ТП-12</t>
  </si>
  <si>
    <t>ТП-320</t>
  </si>
  <si>
    <t>Мкр. Студенческий</t>
  </si>
  <si>
    <t>ТП-182</t>
  </si>
  <si>
    <t>ТП-183</t>
  </si>
  <si>
    <t>ТП-27(5/2)</t>
  </si>
  <si>
    <t>ТП-29(5/1)</t>
  </si>
  <si>
    <t>Ячейки КСО, KXII, КМ-1Ф  шт.</t>
  </si>
  <si>
    <t>Выкл. масляные шт</t>
  </si>
  <si>
    <t>кол-во присоединений</t>
  </si>
  <si>
    <t>Выкл.элегазовые, шт</t>
  </si>
  <si>
    <t>Выкл.вакуумные, шт</t>
  </si>
  <si>
    <t>Разъединители, шт.</t>
  </si>
  <si>
    <t>Выключатели нагрузки (ВН), шт.</t>
  </si>
  <si>
    <t>ОПН, шт.</t>
  </si>
  <si>
    <t>ПРИБОРЫ</t>
  </si>
  <si>
    <t>ВЛ-110 кВ</t>
  </si>
  <si>
    <t>ВЛ-35 кВ</t>
  </si>
  <si>
    <t>ВЛ-10 кВ</t>
  </si>
  <si>
    <t>ВЛ-6 кВ</t>
  </si>
  <si>
    <t>ВЛ-0,4 кВ</t>
  </si>
  <si>
    <t>КЛ-10 кВ</t>
  </si>
  <si>
    <t>КЛ-6 кВ</t>
  </si>
  <si>
    <t>КЛ-0,4 кВ</t>
  </si>
  <si>
    <t>Электросчётчики, шт</t>
  </si>
  <si>
    <t>Амперметры, шт</t>
  </si>
  <si>
    <t>Вольтметры, шт</t>
  </si>
  <si>
    <t>Ваттметры, шт</t>
  </si>
  <si>
    <t>РЗиА</t>
  </si>
  <si>
    <t>АВР</t>
  </si>
  <si>
    <t>6кВ</t>
  </si>
  <si>
    <t>КСО-203-29</t>
  </si>
  <si>
    <t>35кВ</t>
  </si>
  <si>
    <t>В-35-2шт</t>
  </si>
  <si>
    <t>Р-35 кВ - 4 шт;Р-6кВ-3шт.</t>
  </si>
  <si>
    <t>ST-7 -20шт</t>
  </si>
  <si>
    <t>В-6-15шт</t>
  </si>
  <si>
    <t>В-10-11шт, В-35 -2шт</t>
  </si>
  <si>
    <t>СР-10, Р-35 - 6 шт</t>
  </si>
  <si>
    <t>10кВ</t>
  </si>
  <si>
    <t>ТМ-100/10</t>
  </si>
  <si>
    <t>Яч.К-63 - 16</t>
  </si>
  <si>
    <t>В-10 - 21шт; В-35 -2 шт.</t>
  </si>
  <si>
    <t>Р-35 - 4шт; Р-6кВ - 3</t>
  </si>
  <si>
    <t>ST-7 -20шт; К-ХII -6шт</t>
  </si>
  <si>
    <t>110кВ</t>
  </si>
  <si>
    <t>_</t>
  </si>
  <si>
    <t>ТМГ400-6/0,4кВ</t>
  </si>
  <si>
    <t>10/0,4</t>
  </si>
  <si>
    <t>КТПН</t>
  </si>
  <si>
    <t>1</t>
  </si>
  <si>
    <t>3</t>
  </si>
  <si>
    <t>6</t>
  </si>
  <si>
    <t>2</t>
  </si>
  <si>
    <t>8</t>
  </si>
  <si>
    <t>9А новая</t>
  </si>
  <si>
    <t>7</t>
  </si>
  <si>
    <t>5/3</t>
  </si>
  <si>
    <t>5/4</t>
  </si>
  <si>
    <t>в РП-№15</t>
  </si>
  <si>
    <t>в РП-№14</t>
  </si>
  <si>
    <t>в РП-№8</t>
  </si>
  <si>
    <t>Разрядники, комплектов</t>
  </si>
  <si>
    <t>ОПН, комплектов</t>
  </si>
  <si>
    <t>ТН, комплектов</t>
  </si>
  <si>
    <t>6,10,35 кВ, комплектов</t>
  </si>
  <si>
    <t>0.4 кВ, комплектов</t>
  </si>
  <si>
    <t xml:space="preserve"> г. Новый Уренгой</t>
  </si>
  <si>
    <t>Старое наименование, напряжение (кВ)</t>
  </si>
  <si>
    <t>Резерв мощности кВт</t>
  </si>
  <si>
    <t>250</t>
  </si>
  <si>
    <t>400</t>
  </si>
  <si>
    <t>План/факт рекон-струкции              (год)</t>
  </si>
  <si>
    <t>2010/2010</t>
  </si>
  <si>
    <t>СН 6кВ</t>
  </si>
  <si>
    <t>СН 10кВ</t>
  </si>
  <si>
    <t>РП-25</t>
  </si>
  <si>
    <t>1.2</t>
  </si>
  <si>
    <t>1.3</t>
  </si>
  <si>
    <t>1.4</t>
  </si>
  <si>
    <t>1.6</t>
  </si>
  <si>
    <t>1.7</t>
  </si>
  <si>
    <t>1.8</t>
  </si>
  <si>
    <t>1.</t>
  </si>
  <si>
    <t>2.1</t>
  </si>
  <si>
    <t>2.2</t>
  </si>
  <si>
    <t>2.3</t>
  </si>
  <si>
    <t>2.4</t>
  </si>
  <si>
    <t>2.5</t>
  </si>
  <si>
    <t>2.6</t>
  </si>
  <si>
    <t>4.3</t>
  </si>
  <si>
    <t>4.4</t>
  </si>
  <si>
    <t>5.2</t>
  </si>
  <si>
    <t>ПС "Звезда"</t>
  </si>
  <si>
    <t>10</t>
  </si>
  <si>
    <t>630</t>
  </si>
  <si>
    <t>Мощность по выданным ТУ на проектирование и присоединение потребителей (кВт)             10/0,4кВ</t>
  </si>
  <si>
    <t>2009/2009</t>
  </si>
  <si>
    <t>Разрешенная мощность потребления (кВт)</t>
  </si>
  <si>
    <r>
      <t>IV</t>
    </r>
    <r>
      <rPr>
        <sz val="9"/>
        <rFont val="Times New Roman"/>
        <family val="1"/>
      </rPr>
      <t xml:space="preserve"> мкр.</t>
    </r>
  </si>
  <si>
    <t>4 кв-л МЭЗ</t>
  </si>
  <si>
    <t>10 кВ</t>
  </si>
  <si>
    <t>мкр. Мирный</t>
  </si>
  <si>
    <t>мкр. Дружба</t>
  </si>
  <si>
    <t>2010/2011</t>
  </si>
  <si>
    <t>2011/2011</t>
  </si>
  <si>
    <t>ПС "Новоуренгойская"</t>
  </si>
  <si>
    <t>1.1</t>
  </si>
  <si>
    <t>ПС "Варенга-Яха"        ВЛ-35кВ  Луч-1, Луч-2</t>
  </si>
  <si>
    <t>Южная часть                       г. Новый Уренгой</t>
  </si>
  <si>
    <t>ЗРУ-6                 ПС "Опорная"</t>
  </si>
  <si>
    <t>1.9</t>
  </si>
  <si>
    <t>1.10</t>
  </si>
  <si>
    <t>1.11</t>
  </si>
  <si>
    <t>1.12</t>
  </si>
  <si>
    <t>2.7</t>
  </si>
  <si>
    <t>3.1</t>
  </si>
  <si>
    <t>3.2</t>
  </si>
  <si>
    <t>3.3</t>
  </si>
  <si>
    <t>4</t>
  </si>
  <si>
    <t>5</t>
  </si>
  <si>
    <t>5.1</t>
  </si>
  <si>
    <t>РТП  "Ямал"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</si>
  <si>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</si>
  <si>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</si>
  <si>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</si>
  <si>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</si>
  <si>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</si>
  <si>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</si>
  <si>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</si>
  <si>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</si>
  <si>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</si>
  <si>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</si>
  <si>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</si>
  <si>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</si>
  <si>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</si>
  <si>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</si>
  <si>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</si>
  <si>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</si>
  <si>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</si>
  <si>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</si>
  <si>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</si>
  <si>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</si>
  <si>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</si>
  <si>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9</t>
  </si>
  <si>
    <t>11.1</t>
  </si>
  <si>
    <r>
      <t>яч.3.10</t>
    </r>
    <r>
      <rPr>
        <sz val="12"/>
        <rFont val="Times New Roman"/>
        <family val="1"/>
      </rPr>
      <t xml:space="preserve"> ТП-53</t>
    </r>
  </si>
  <si>
    <r>
      <t>яч.3.10</t>
    </r>
    <r>
      <rPr>
        <sz val="12"/>
        <rFont val="Times New Roman"/>
        <family val="1"/>
      </rPr>
      <t xml:space="preserve"> ТП-55</t>
    </r>
  </si>
  <si>
    <r>
      <t xml:space="preserve">яч.1.7 </t>
    </r>
    <r>
      <rPr>
        <sz val="12"/>
        <rFont val="Times New Roman"/>
        <family val="1"/>
      </rPr>
      <t>ТП-проект</t>
    </r>
  </si>
  <si>
    <r>
      <t>яч.1.7</t>
    </r>
    <r>
      <rPr>
        <sz val="12"/>
        <rFont val="Times New Roman"/>
        <family val="1"/>
      </rPr>
      <t xml:space="preserve"> ТП-56</t>
    </r>
  </si>
  <si>
    <r>
      <t>яч.1.7</t>
    </r>
    <r>
      <rPr>
        <sz val="12"/>
        <rFont val="Times New Roman"/>
        <family val="1"/>
      </rPr>
      <t xml:space="preserve"> ТП-54</t>
    </r>
  </si>
  <si>
    <r>
      <t>яч.1.7</t>
    </r>
    <r>
      <rPr>
        <sz val="12"/>
        <rFont val="Times New Roman"/>
        <family val="1"/>
      </rPr>
      <t xml:space="preserve"> ТП-52</t>
    </r>
  </si>
  <si>
    <r>
      <t>яч.4.2</t>
    </r>
    <r>
      <rPr>
        <sz val="12"/>
        <rFont val="Times New Roman"/>
        <family val="1"/>
      </rPr>
      <t xml:space="preserve"> ТП-РРС-1</t>
    </r>
  </si>
  <si>
    <r>
      <t>яч.1.3</t>
    </r>
    <r>
      <rPr>
        <sz val="12"/>
        <rFont val="Times New Roman"/>
        <family val="1"/>
      </rPr>
      <t xml:space="preserve"> ТП-РРС-2</t>
    </r>
  </si>
  <si>
    <r>
      <t>ВЛ "Линвест"</t>
    </r>
    <r>
      <rPr>
        <sz val="12"/>
        <rFont val="Times New Roman"/>
        <family val="1"/>
      </rPr>
      <t>ТП-70</t>
    </r>
  </si>
  <si>
    <t>3.0.1</t>
  </si>
  <si>
    <t>3.0.2</t>
  </si>
  <si>
    <t>6 кВ</t>
  </si>
  <si>
    <t>4.5</t>
  </si>
  <si>
    <t>ТП-СУВР</t>
  </si>
  <si>
    <t>1000</t>
  </si>
  <si>
    <t>400/223</t>
  </si>
  <si>
    <t>160/81,5</t>
  </si>
  <si>
    <t>ТП-81</t>
  </si>
  <si>
    <t>ТП- 11 -IVА мкр., Западная часть</t>
  </si>
  <si>
    <t xml:space="preserve"> </t>
  </si>
  <si>
    <t>3.3.5</t>
  </si>
  <si>
    <t>5 кВт на Баннер</t>
  </si>
  <si>
    <t>1250</t>
  </si>
  <si>
    <t>мкр. Надежда, МОУ СОШ№9</t>
  </si>
  <si>
    <t>ПС "Тихая"</t>
  </si>
  <si>
    <t>Коротчаево</t>
  </si>
  <si>
    <t>УЖО</t>
  </si>
  <si>
    <t xml:space="preserve"> КНС-2</t>
  </si>
  <si>
    <t>ул. Пушкина 1</t>
  </si>
  <si>
    <t>мкр. Приозёрный  8</t>
  </si>
  <si>
    <t xml:space="preserve"> мкр. Приозёрный  13/1</t>
  </si>
  <si>
    <t>мкр. Приозёрный  4</t>
  </si>
  <si>
    <t>мкр. Приозёрный  12</t>
  </si>
  <si>
    <t>ул. Энергостроителей</t>
  </si>
  <si>
    <t xml:space="preserve"> ул. Зелёная</t>
  </si>
  <si>
    <t>КСК</t>
  </si>
  <si>
    <t xml:space="preserve"> ул.Ямбургская, Бамовская</t>
  </si>
  <si>
    <t>пос. Речпорт, возле д.с. «Морячок»</t>
  </si>
  <si>
    <t xml:space="preserve"> ул. Тихая  пос. УГМ</t>
  </si>
  <si>
    <t xml:space="preserve"> ГСК-1</t>
  </si>
  <si>
    <t xml:space="preserve"> ГСК-2</t>
  </si>
  <si>
    <t xml:space="preserve"> мкр. Надежда</t>
  </si>
  <si>
    <t>КТП КОС (в здании КОС)</t>
  </si>
  <si>
    <t xml:space="preserve"> ПСО-40 возле конторы «Лимбей»</t>
  </si>
  <si>
    <t>пос. МК-5</t>
  </si>
  <si>
    <t>СОВ-2</t>
  </si>
  <si>
    <t>мазут</t>
  </si>
  <si>
    <t xml:space="preserve"> пл. Ленина пос. СМП-522</t>
  </si>
  <si>
    <t>ул. Спортивная  СМП-522</t>
  </si>
  <si>
    <t xml:space="preserve">КТП -2 </t>
  </si>
  <si>
    <t xml:space="preserve">                                                                                                                  </t>
  </si>
  <si>
    <t>КТП №1</t>
  </si>
  <si>
    <t xml:space="preserve"> пр. Мира   49</t>
  </si>
  <si>
    <t xml:space="preserve">  ул. Путьремовская</t>
  </si>
  <si>
    <t xml:space="preserve"> ул.Мира 26</t>
  </si>
  <si>
    <t xml:space="preserve"> пос. МК-21</t>
  </si>
  <si>
    <t>СМП-522</t>
  </si>
  <si>
    <t xml:space="preserve">КТП -3 </t>
  </si>
  <si>
    <t>пос. Путьрем ул. Юности</t>
  </si>
  <si>
    <t>КТП №2-п</t>
  </si>
  <si>
    <t xml:space="preserve"> ул. Западная  пос. СУ-962</t>
  </si>
  <si>
    <t xml:space="preserve"> пос. СГБ  ул. Геологов</t>
  </si>
  <si>
    <t>котельная</t>
  </si>
  <si>
    <t xml:space="preserve">   пр. Мира  32</t>
  </si>
  <si>
    <t>пос. Горем-18 ул.Московская</t>
  </si>
  <si>
    <t xml:space="preserve">КТП-3-г  </t>
  </si>
  <si>
    <t xml:space="preserve"> пос. Горем-18 ул. Локомотивная</t>
  </si>
  <si>
    <t xml:space="preserve">КТП –2-г   </t>
  </si>
  <si>
    <t>РРУ</t>
  </si>
  <si>
    <t>160</t>
  </si>
  <si>
    <t>ТП-161</t>
  </si>
  <si>
    <t>МУЗ ЦГБ</t>
  </si>
  <si>
    <t>год ввода</t>
  </si>
  <si>
    <t>ТП-27</t>
  </si>
  <si>
    <t>ТП-7А</t>
  </si>
  <si>
    <t>ТП-184</t>
  </si>
  <si>
    <t>1 квартал   мкр. Оптимистов д/сад</t>
  </si>
  <si>
    <t>мкр. Восточный ЗАГС</t>
  </si>
  <si>
    <t>ТП-342</t>
  </si>
  <si>
    <t>ТП-90</t>
  </si>
  <si>
    <t>поз.19</t>
  </si>
  <si>
    <t>ТП-91</t>
  </si>
  <si>
    <t>поз.20</t>
  </si>
  <si>
    <t>мкр. Крымский</t>
  </si>
  <si>
    <t>3.0.3</t>
  </si>
  <si>
    <t>3.2.7</t>
  </si>
  <si>
    <t>3.2.8</t>
  </si>
  <si>
    <t>4.6</t>
  </si>
  <si>
    <t xml:space="preserve"> ПС "Ева-Яха"</t>
  </si>
  <si>
    <t>8.1.1</t>
  </si>
  <si>
    <t>8.2</t>
  </si>
  <si>
    <t>8.2.1</t>
  </si>
  <si>
    <t>10.1</t>
  </si>
  <si>
    <t>10.3</t>
  </si>
  <si>
    <t>10.4</t>
  </si>
  <si>
    <t>12</t>
  </si>
  <si>
    <t>12.1</t>
  </si>
  <si>
    <t>12.2</t>
  </si>
  <si>
    <t>13.1</t>
  </si>
  <si>
    <t>13.2</t>
  </si>
  <si>
    <t>13.3</t>
  </si>
  <si>
    <t>14.1</t>
  </si>
  <si>
    <t>объект передан в УГВК</t>
  </si>
  <si>
    <t>ул. Мира</t>
  </si>
  <si>
    <t>мкр. Восточный Детский сад</t>
  </si>
  <si>
    <t>7.1.1</t>
  </si>
  <si>
    <t>7.1.2</t>
  </si>
  <si>
    <t>7.1.3</t>
  </si>
  <si>
    <t>7.1.4</t>
  </si>
  <si>
    <t>7.1.5</t>
  </si>
  <si>
    <t>7.1.6</t>
  </si>
  <si>
    <t>6.1</t>
  </si>
  <si>
    <t>ПС "Варенга-Яха"</t>
  </si>
  <si>
    <t>пос. Южный</t>
  </si>
  <si>
    <t>7.3</t>
  </si>
  <si>
    <t>7.3.1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</si>
  <si>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</si>
  <si>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</si>
  <si>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</si>
  <si>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</si>
  <si>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</si>
  <si>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</si>
  <si>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</si>
  <si>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</si>
  <si>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</si>
  <si>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</si>
  <si>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</si>
  <si>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</si>
  <si>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</si>
  <si>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</si>
  <si>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7.3.17</t>
  </si>
  <si>
    <t>7.4</t>
  </si>
  <si>
    <t>7.4.1</t>
  </si>
  <si>
    <t>7.4.2</t>
  </si>
  <si>
    <t>7.4.3</t>
  </si>
  <si>
    <t>7.4.4</t>
  </si>
  <si>
    <t>7.4.5</t>
  </si>
  <si>
    <t>7.4.7</t>
  </si>
  <si>
    <t>7.4.8</t>
  </si>
  <si>
    <t>7.4.9</t>
  </si>
  <si>
    <t>7.5</t>
  </si>
  <si>
    <t>7.5.1</t>
  </si>
  <si>
    <t>7.6</t>
  </si>
  <si>
    <t>5 квартал МЭЗ</t>
  </si>
  <si>
    <t>МО-93  от ПС "Головная"</t>
  </si>
  <si>
    <t>ТП-4 (МО-93)</t>
  </si>
  <si>
    <t>Коротчаева МО-93 ул. Школьная</t>
  </si>
  <si>
    <t>ТП-2 (МО-93)</t>
  </si>
  <si>
    <t>котельная, баня "Фракт"</t>
  </si>
  <si>
    <t>ТП-1 (МО-93)</t>
  </si>
  <si>
    <t>МО-93  ул. Геологов</t>
  </si>
  <si>
    <t>КТПНу (вольтодобавоч-ная)</t>
  </si>
  <si>
    <t>присоединённая  мощность</t>
  </si>
  <si>
    <t>2КТПКу-1000/10/0,4 экспл. №337</t>
  </si>
  <si>
    <t xml:space="preserve">Источники электроснабжения обслуживаемые АО «Уренгойгорэлектросеть» </t>
  </si>
  <si>
    <t>КТП-ГСК-2 (ф.19)</t>
  </si>
  <si>
    <t>ТП-1А                    ( ф.24; ф.13)</t>
  </si>
  <si>
    <t>ТП-ЦТП-1                    (ф.18; ф.12)</t>
  </si>
  <si>
    <t>ТП-2Б                   (ф.18 опора №20/1; ф.12 опр.№21)</t>
  </si>
  <si>
    <t>КТП-12            (ф.18 опр.13)</t>
  </si>
  <si>
    <t>КТП-21            (.12 опор.32)</t>
  </si>
  <si>
    <t>КТП-31         (ф.12 опор.16/1)</t>
  </si>
  <si>
    <t>КТП-ГСК-1  (ф.12 опр.43/3)</t>
  </si>
  <si>
    <t>ТП-КОС                    (ф.12 опор.45; фю.19 опор.50)</t>
  </si>
  <si>
    <t>ТП-1Г            (ф.12; ТП-11А яч.2)</t>
  </si>
  <si>
    <t>ТП-1В                       (ф.12 опр.2; ТП-1Б яч.4)</t>
  </si>
  <si>
    <t>ТП-1Б                    (ф.24 опора №23/6; ТП-1В яч.2)</t>
  </si>
  <si>
    <t xml:space="preserve">расчётная мощность </t>
  </si>
  <si>
    <t>Тихая -ЯЖДК    яч.14 ф.4</t>
  </si>
  <si>
    <t>КТП -24    (ф.14 оп.24)</t>
  </si>
  <si>
    <t xml:space="preserve">КТП -25   (ф.4 опр.17)        </t>
  </si>
  <si>
    <t>КТП -23    (ф.4 опор.№8)</t>
  </si>
  <si>
    <t>КТП-22      ( ф.4 опор.№8)</t>
  </si>
  <si>
    <t>ПС 110/6 Глубокая -Недра</t>
  </si>
  <si>
    <t>ТП-14 (ф.14 оп.21/1)</t>
  </si>
  <si>
    <t>КТП-15                       (ф.11 оп.5/4)</t>
  </si>
  <si>
    <t>КТП-16              (ф.12 оп.3/6)</t>
  </si>
  <si>
    <t>КТП -17             (ф.7 оп.39)</t>
  </si>
  <si>
    <t>КТПН-8                     (ф.6 оп.29/3)</t>
  </si>
  <si>
    <t>КТП-7                 (ф.6 оп.20/1)</t>
  </si>
  <si>
    <t>КТП-9                    (ф.6 оп.7/1)</t>
  </si>
  <si>
    <t>ТП-33                 (ф.1 оп.18; ф.2 оп.16)</t>
  </si>
  <si>
    <t>КТП-1                 (ф.6 оп.54/9)</t>
  </si>
  <si>
    <t>ТП-2                   (ф.6 оп.61)</t>
  </si>
  <si>
    <t>КТП-4                  (ф.6 оп.67)</t>
  </si>
  <si>
    <t>ТП-5                     (ф.6 оп.8/63)</t>
  </si>
  <si>
    <t>КТП-6               (ф.7 оп.36)</t>
  </si>
  <si>
    <t>ТП-10                     (ф.1 оп.22; ф.2 оп.20/1)</t>
  </si>
  <si>
    <t>КТП-11               (ф.1 оп.16/1 ; ф.2)</t>
  </si>
  <si>
    <t>КТП -18                  (ф.7 оп.32/1)</t>
  </si>
  <si>
    <t>КТП -19              (ф.7 оп.24/1)</t>
  </si>
  <si>
    <r>
      <t xml:space="preserve">КТП-20                      </t>
    </r>
    <r>
      <rPr>
        <b/>
        <sz val="11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ТП-10 яч.6;  ТП-10 яч.5)</t>
    </r>
  </si>
  <si>
    <t>ТП-21             (ф.2 оп.27;   ф.1 оп.28)</t>
  </si>
  <si>
    <t>КТП-26                   (ф.15 оп.53)</t>
  </si>
  <si>
    <t>КТПН                   ( яч.6 оп.7)</t>
  </si>
  <si>
    <t>КТПН           (яч.6 оп.3)</t>
  </si>
  <si>
    <t xml:space="preserve">разреш мощность по актам разграничения </t>
  </si>
  <si>
    <t>15.1</t>
  </si>
  <si>
    <t>ПС "Тихая"    Сургутская дистанция</t>
  </si>
  <si>
    <t>разрешённая мощность</t>
  </si>
  <si>
    <t>ТП-343</t>
  </si>
  <si>
    <t>ТП- 17   (поз.128 -IVА мкр., Восточная часть)</t>
  </si>
  <si>
    <t>ТП -  14 (2*1000)</t>
  </si>
  <si>
    <t>ТП-15   (2х630)</t>
  </si>
  <si>
    <t>545,4/20</t>
  </si>
  <si>
    <t>250/175</t>
  </si>
  <si>
    <t>7.3.18</t>
  </si>
  <si>
    <t>Снегири</t>
  </si>
  <si>
    <t>ТП-360</t>
  </si>
  <si>
    <t>100/180</t>
  </si>
  <si>
    <t xml:space="preserve">ТП-ТФК-1х63 кВА </t>
  </si>
  <si>
    <t>63</t>
  </si>
  <si>
    <t>630/132</t>
  </si>
  <si>
    <t>ПС "Головная"   Лимбяяха</t>
  </si>
  <si>
    <t xml:space="preserve">ПС "Головная"  </t>
  </si>
  <si>
    <t>1.13</t>
  </si>
  <si>
    <t>ТП-1 СОДНТ "Энтузиаст"</t>
  </si>
  <si>
    <t xml:space="preserve">ТП- Лыжная </t>
  </si>
  <si>
    <t>6.2</t>
  </si>
  <si>
    <t>ТП-400</t>
  </si>
  <si>
    <t xml:space="preserve">1х630 </t>
  </si>
  <si>
    <t>от ПС Варенга-Яха</t>
  </si>
  <si>
    <t>1260/567-50</t>
  </si>
  <si>
    <t>2090/616,8</t>
  </si>
  <si>
    <t>777/326,8</t>
  </si>
  <si>
    <t>РТП-Крымская</t>
  </si>
  <si>
    <t>7.4.6</t>
  </si>
  <si>
    <t>650/85</t>
  </si>
  <si>
    <t>ТП-10- яч.3, яч.4-КТП-2х630 кВА</t>
  </si>
  <si>
    <t>IVA микрорайон, зап.часть</t>
  </si>
  <si>
    <t>IVA микрорайон, зап. Часть</t>
  </si>
  <si>
    <t>мах.мощ. 9150</t>
  </si>
  <si>
    <t>СУВР</t>
  </si>
  <si>
    <t>2018г - новая КТП для жил.дома</t>
  </si>
  <si>
    <t>УГВК</t>
  </si>
  <si>
    <t>ТП-83</t>
  </si>
  <si>
    <t>ТП-46</t>
  </si>
  <si>
    <t>1260</t>
  </si>
  <si>
    <t xml:space="preserve">ПС "Уренгой" ФСК ЯРАУ ЕЭС </t>
  </si>
  <si>
    <t>количество</t>
  </si>
  <si>
    <t>2КТПКу-1250/10/0,4 экспл.№338</t>
  </si>
  <si>
    <t>РП-9</t>
  </si>
  <si>
    <t xml:space="preserve"> яч.1.3. ВЛ-10 кВ РРС-2, опора 9-КТП-1000 проект</t>
  </si>
  <si>
    <t>р-он Южный, Южная магистраль</t>
  </si>
  <si>
    <t>КТП-1000 от</t>
  </si>
  <si>
    <t>Северная коммунальная зона</t>
  </si>
  <si>
    <t>410/310</t>
  </si>
  <si>
    <t>ТП-70</t>
  </si>
  <si>
    <t>РП-4 от сетей  РП-7 (Газром энерго)</t>
  </si>
  <si>
    <t>РП-7 (Газром энерго)</t>
  </si>
  <si>
    <t>не указана в актах</t>
  </si>
  <si>
    <t xml:space="preserve">не указана в актах разграничения </t>
  </si>
  <si>
    <t>РП-13 от Газпромэнерго</t>
  </si>
  <si>
    <t>8.2.2</t>
  </si>
  <si>
    <t>8.2.3</t>
  </si>
  <si>
    <t>8.2.4</t>
  </si>
  <si>
    <t>8.2.5</t>
  </si>
  <si>
    <t>ТП-300/1; 300/2 и РУ-10 кВ РК-4</t>
  </si>
  <si>
    <t>ПС-Новоуренгойская - УГЭС-2</t>
  </si>
  <si>
    <t>7.2.</t>
  </si>
  <si>
    <t>7.2.1.</t>
  </si>
  <si>
    <t>РК-2/1,РК-2/2, ТП-170/1,ТП-170/2</t>
  </si>
  <si>
    <t>10.1.1</t>
  </si>
  <si>
    <t>10.1.2</t>
  </si>
  <si>
    <t xml:space="preserve">ПС "Аэропорт" Газпром энерго </t>
  </si>
  <si>
    <t>3.0.4</t>
  </si>
  <si>
    <t>5.3</t>
  </si>
  <si>
    <t>10.1.3</t>
  </si>
  <si>
    <t>10.1.4</t>
  </si>
  <si>
    <t>10.2.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</si>
  <si>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</si>
  <si>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</si>
  <si>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</si>
  <si>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</si>
  <si>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</si>
  <si>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</si>
  <si>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</si>
  <si>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</si>
  <si>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</si>
  <si>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</si>
  <si>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</si>
  <si>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</si>
  <si>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</si>
  <si>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</si>
  <si>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10.4.1</t>
  </si>
  <si>
    <t>11.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</si>
  <si>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</si>
  <si>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</si>
  <si>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</si>
  <si>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</si>
  <si>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</si>
  <si>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</si>
  <si>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</si>
  <si>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</si>
  <si>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</si>
  <si>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</si>
  <si>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11.2.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</si>
  <si>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</si>
  <si>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</si>
  <si>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</si>
  <si>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</si>
  <si>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</si>
  <si>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</si>
  <si>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</si>
  <si>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</si>
  <si>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</si>
  <si>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</si>
  <si>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13.</t>
  </si>
  <si>
    <t>разреш мощность в актах не указана</t>
  </si>
  <si>
    <t>ТП-ТДК   (ТП-10 яч.8  ;7)</t>
  </si>
  <si>
    <t>отключены</t>
  </si>
  <si>
    <t>15.1.1</t>
  </si>
  <si>
    <t>15.1.2</t>
  </si>
  <si>
    <t>15.1.3</t>
  </si>
  <si>
    <t>15.1.4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</si>
  <si>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</si>
  <si>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</si>
  <si>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</si>
  <si>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</si>
  <si>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</si>
  <si>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</si>
  <si>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</si>
  <si>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</si>
  <si>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</si>
  <si>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</si>
  <si>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</si>
  <si>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</si>
  <si>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14.2.</t>
  </si>
  <si>
    <t>14.2.1</t>
  </si>
  <si>
    <t>14.2.2</t>
  </si>
  <si>
    <t>14.2.3</t>
  </si>
  <si>
    <t>14.2.4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</si>
  <si>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</si>
  <si>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</si>
  <si>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</si>
  <si>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</si>
  <si>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</si>
  <si>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</si>
  <si>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</si>
  <si>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</si>
  <si>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</si>
  <si>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</si>
  <si>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</si>
  <si>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</si>
  <si>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</si>
  <si>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</si>
  <si>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</si>
  <si>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</si>
  <si>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15.2.</t>
  </si>
  <si>
    <t>15.3.</t>
  </si>
  <si>
    <t>15.3.1</t>
  </si>
  <si>
    <t>15.3.2</t>
  </si>
  <si>
    <t>15.3.3</t>
  </si>
  <si>
    <t>15.3.4</t>
  </si>
  <si>
    <t>16.1</t>
  </si>
  <si>
    <t>16.2</t>
  </si>
  <si>
    <t>ТП-82</t>
  </si>
  <si>
    <t>7.3.19</t>
  </si>
  <si>
    <t>10.1.5</t>
  </si>
  <si>
    <t>10.1.6</t>
  </si>
  <si>
    <t>мкр. Восточнее Восточного</t>
  </si>
  <si>
    <t>2КТПКу-1000/10/0,4 экспл.№354</t>
  </si>
  <si>
    <t>2КТПКу-1000/10/0,4 экспл.№355</t>
  </si>
  <si>
    <t>600/291</t>
  </si>
  <si>
    <t>ТП  проектируемое</t>
  </si>
  <si>
    <t>160/365,9</t>
  </si>
  <si>
    <t>1250/140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</si>
</sst>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1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4" borderId="11" xfId="53" applyFont="1" applyFill="1" applyBorder="1" applyAlignment="1">
      <alignment horizontal="center" vertical="center" wrapText="1"/>
      <protection/>
    </xf>
    <xf numFmtId="0" fontId="2" fillId="4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4" borderId="11" xfId="53" applyNumberFormat="1" applyFont="1" applyFill="1" applyBorder="1" applyAlignment="1">
      <alignment horizontal="center" vertical="center" wrapText="1"/>
      <protection/>
    </xf>
    <xf numFmtId="0" fontId="2" fillId="4" borderId="11" xfId="53" applyNumberFormat="1" applyFont="1" applyFill="1" applyBorder="1" applyAlignment="1">
      <alignment horizontal="center" vertical="center" wrapText="1"/>
      <protection/>
    </xf>
    <xf numFmtId="1" fontId="1" fillId="4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1" fontId="2" fillId="4" borderId="11" xfId="53" applyNumberFormat="1" applyFont="1" applyFill="1" applyBorder="1" applyAlignment="1" applyProtection="1">
      <alignment horizontal="center" vertical="center" wrapText="1"/>
      <protection/>
    </xf>
    <xf numFmtId="1" fontId="2" fillId="0" borderId="11" xfId="53" applyNumberFormat="1" applyFont="1" applyFill="1" applyBorder="1" applyAlignment="1" applyProtection="1">
      <alignment horizontal="center" vertical="center" wrapText="1"/>
      <protection/>
    </xf>
    <xf numFmtId="1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4" borderId="11" xfId="0" applyNumberFormat="1" applyFont="1" applyFill="1" applyBorder="1" applyAlignment="1">
      <alignment horizontal="center" vertical="center" wrapText="1"/>
    </xf>
    <xf numFmtId="1" fontId="2" fillId="24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0" fontId="1" fillId="25" borderId="11" xfId="53" applyFont="1" applyFill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3" fillId="0" borderId="16" xfId="53" applyFont="1" applyFill="1" applyBorder="1" applyAlignment="1">
      <alignment vertical="center" textRotation="90" wrapText="1"/>
      <protection/>
    </xf>
    <xf numFmtId="0" fontId="3" fillId="0" borderId="14" xfId="53" applyFont="1" applyFill="1" applyBorder="1" applyAlignment="1">
      <alignment vertical="center" textRotation="90" wrapText="1"/>
      <protection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2" fillId="4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" fontId="1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top" wrapText="1"/>
    </xf>
    <xf numFmtId="0" fontId="2" fillId="27" borderId="0" xfId="0" applyFont="1" applyFill="1" applyBorder="1" applyAlignment="1">
      <alignment horizontal="center" vertical="center" wrapText="1"/>
    </xf>
    <xf numFmtId="0" fontId="40" fillId="27" borderId="11" xfId="0" applyFont="1" applyFill="1" applyBorder="1" applyAlignment="1">
      <alignment horizontal="center" vertical="top" wrapText="1"/>
    </xf>
    <xf numFmtId="0" fontId="40" fillId="27" borderId="11" xfId="0" applyFont="1" applyFill="1" applyBorder="1" applyAlignment="1">
      <alignment horizontal="center" vertical="top"/>
    </xf>
    <xf numFmtId="0" fontId="40" fillId="27" borderId="11" xfId="0" applyFont="1" applyFill="1" applyBorder="1" applyAlignment="1">
      <alignment/>
    </xf>
    <xf numFmtId="0" fontId="40" fillId="27" borderId="23" xfId="0" applyFont="1" applyFill="1" applyBorder="1" applyAlignment="1">
      <alignment vertical="top"/>
    </xf>
    <xf numFmtId="0" fontId="40" fillId="28" borderId="11" xfId="0" applyFont="1" applyFill="1" applyBorder="1" applyAlignment="1">
      <alignment horizontal="center" vertical="top" wrapText="1"/>
    </xf>
    <xf numFmtId="0" fontId="2" fillId="28" borderId="0" xfId="0" applyFont="1" applyFill="1" applyBorder="1" applyAlignment="1">
      <alignment horizontal="center" vertical="center" wrapText="1"/>
    </xf>
    <xf numFmtId="0" fontId="40" fillId="28" borderId="11" xfId="0" applyFont="1" applyFill="1" applyBorder="1" applyAlignment="1">
      <alignment horizontal="center" vertical="top"/>
    </xf>
    <xf numFmtId="0" fontId="41" fillId="29" borderId="11" xfId="0" applyFont="1" applyFill="1" applyBorder="1" applyAlignment="1">
      <alignment horizontal="center" vertical="top" wrapText="1"/>
    </xf>
    <xf numFmtId="0" fontId="40" fillId="29" borderId="11" xfId="0" applyFont="1" applyFill="1" applyBorder="1" applyAlignment="1">
      <alignment horizontal="center" vertical="top" wrapText="1"/>
    </xf>
    <xf numFmtId="0" fontId="2" fillId="29" borderId="0" xfId="0" applyFont="1" applyFill="1" applyBorder="1" applyAlignment="1">
      <alignment horizontal="center" vertical="center" wrapText="1"/>
    </xf>
    <xf numFmtId="0" fontId="40" fillId="29" borderId="11" xfId="0" applyFont="1" applyFill="1" applyBorder="1" applyAlignment="1">
      <alignment horizontal="center" vertical="top"/>
    </xf>
    <xf numFmtId="0" fontId="40" fillId="29" borderId="11" xfId="0" applyFont="1" applyFill="1" applyBorder="1" applyAlignment="1">
      <alignment wrapText="1"/>
    </xf>
    <xf numFmtId="0" fontId="1" fillId="29" borderId="11" xfId="0" applyFont="1" applyFill="1" applyBorder="1" applyAlignment="1">
      <alignment horizontal="center" vertical="center" wrapText="1"/>
    </xf>
    <xf numFmtId="0" fontId="40" fillId="28" borderId="11" xfId="0" applyFont="1" applyFill="1" applyBorder="1" applyAlignment="1">
      <alignment/>
    </xf>
    <xf numFmtId="0" fontId="40" fillId="27" borderId="18" xfId="0" applyFont="1" applyFill="1" applyBorder="1" applyAlignment="1">
      <alignment vertical="top" wrapText="1"/>
    </xf>
    <xf numFmtId="0" fontId="40" fillId="27" borderId="18" xfId="0" applyFont="1" applyFill="1" applyBorder="1" applyAlignment="1">
      <alignment horizontal="center" vertical="top" wrapText="1"/>
    </xf>
    <xf numFmtId="0" fontId="40" fillId="28" borderId="11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center" wrapText="1"/>
    </xf>
    <xf numFmtId="49" fontId="40" fillId="30" borderId="11" xfId="0" applyNumberFormat="1" applyFont="1" applyFill="1" applyBorder="1" applyAlignment="1">
      <alignment horizontal="center" vertical="center" wrapText="1"/>
    </xf>
    <xf numFmtId="0" fontId="41" fillId="30" borderId="11" xfId="0" applyFont="1" applyFill="1" applyBorder="1" applyAlignment="1">
      <alignment horizontal="center" vertical="top" wrapText="1"/>
    </xf>
    <xf numFmtId="0" fontId="40" fillId="30" borderId="11" xfId="0" applyFont="1" applyFill="1" applyBorder="1" applyAlignment="1">
      <alignment vertical="top" wrapText="1"/>
    </xf>
    <xf numFmtId="0" fontId="2" fillId="30" borderId="0" xfId="0" applyFont="1" applyFill="1" applyBorder="1" applyAlignment="1">
      <alignment horizontal="center" vertical="center" wrapText="1"/>
    </xf>
    <xf numFmtId="0" fontId="40" fillId="30" borderId="11" xfId="0" applyFont="1" applyFill="1" applyBorder="1" applyAlignment="1">
      <alignment horizontal="center" vertical="top" wrapText="1"/>
    </xf>
    <xf numFmtId="0" fontId="42" fillId="30" borderId="11" xfId="0" applyFont="1" applyFill="1" applyBorder="1" applyAlignment="1">
      <alignment horizontal="center" vertical="top" wrapText="1"/>
    </xf>
    <xf numFmtId="0" fontId="40" fillId="30" borderId="11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0" fillId="27" borderId="18" xfId="0" applyFont="1" applyFill="1" applyBorder="1" applyAlignment="1">
      <alignment horizontal="center" vertical="top" wrapText="1"/>
    </xf>
    <xf numFmtId="0" fontId="40" fillId="27" borderId="18" xfId="0" applyFont="1" applyFill="1" applyBorder="1" applyAlignment="1">
      <alignment horizontal="center" vertical="top" wrapText="1"/>
    </xf>
    <xf numFmtId="0" fontId="40" fillId="28" borderId="18" xfId="0" applyNumberFormat="1" applyFont="1" applyFill="1" applyBorder="1" applyAlignment="1">
      <alignment horizontal="center" vertical="center" wrapText="1"/>
    </xf>
    <xf numFmtId="0" fontId="40" fillId="27" borderId="11" xfId="0" applyFont="1" applyFill="1" applyBorder="1" applyAlignment="1">
      <alignment horizontal="center" vertical="top" wrapText="1"/>
    </xf>
    <xf numFmtId="49" fontId="1" fillId="28" borderId="18" xfId="0" applyNumberFormat="1" applyFont="1" applyFill="1" applyBorder="1" applyAlignment="1">
      <alignment horizontal="center" vertical="center" wrapText="1"/>
    </xf>
    <xf numFmtId="49" fontId="2" fillId="28" borderId="18" xfId="0" applyNumberFormat="1" applyFont="1" applyFill="1" applyBorder="1" applyAlignment="1">
      <alignment horizontal="center" vertical="center" wrapText="1"/>
    </xf>
    <xf numFmtId="1" fontId="1" fillId="28" borderId="18" xfId="0" applyNumberFormat="1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49" fontId="1" fillId="29" borderId="11" xfId="0" applyNumberFormat="1" applyFont="1" applyFill="1" applyBorder="1" applyAlignment="1">
      <alignment horizontal="center" vertical="center" wrapText="1"/>
    </xf>
    <xf numFmtId="49" fontId="2" fillId="29" borderId="11" xfId="0" applyNumberFormat="1" applyFont="1" applyFill="1" applyBorder="1" applyAlignment="1">
      <alignment horizontal="left" vertical="center" wrapText="1"/>
    </xf>
    <xf numFmtId="49" fontId="2" fillId="29" borderId="11" xfId="0" applyNumberFormat="1" applyFont="1" applyFill="1" applyBorder="1" applyAlignment="1">
      <alignment horizontal="center" vertical="center" wrapText="1"/>
    </xf>
    <xf numFmtId="49" fontId="2" fillId="29" borderId="11" xfId="53" applyNumberFormat="1" applyFont="1" applyFill="1" applyBorder="1" applyAlignment="1" applyProtection="1">
      <alignment horizontal="center" vertical="center" wrapText="1"/>
      <protection/>
    </xf>
    <xf numFmtId="1" fontId="2" fillId="29" borderId="11" xfId="53" applyNumberFormat="1" applyFont="1" applyFill="1" applyBorder="1" applyAlignment="1">
      <alignment horizontal="center" vertical="center" wrapText="1"/>
      <protection/>
    </xf>
    <xf numFmtId="0" fontId="2" fillId="29" borderId="11" xfId="53" applyNumberFormat="1" applyFont="1" applyFill="1" applyBorder="1" applyAlignment="1">
      <alignment horizontal="center" vertical="center" wrapText="1"/>
      <protection/>
    </xf>
    <xf numFmtId="1" fontId="1" fillId="29" borderId="11" xfId="0" applyNumberFormat="1" applyFont="1" applyFill="1" applyBorder="1" applyAlignment="1">
      <alignment horizontal="center" vertical="center" wrapText="1"/>
    </xf>
    <xf numFmtId="0" fontId="1" fillId="29" borderId="11" xfId="0" applyNumberFormat="1" applyFont="1" applyFill="1" applyBorder="1" applyAlignment="1">
      <alignment horizontal="center" vertical="center" wrapText="1"/>
    </xf>
    <xf numFmtId="1" fontId="3" fillId="29" borderId="11" xfId="0" applyNumberFormat="1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center" vertical="center" wrapText="1"/>
    </xf>
    <xf numFmtId="0" fontId="2" fillId="29" borderId="11" xfId="53" applyNumberFormat="1" applyFont="1" applyFill="1" applyBorder="1" applyAlignment="1" applyProtection="1">
      <alignment horizontal="center" vertical="center" wrapText="1"/>
      <protection/>
    </xf>
    <xf numFmtId="0" fontId="2" fillId="29" borderId="11" xfId="53" applyFont="1" applyFill="1" applyBorder="1" applyAlignment="1">
      <alignment horizontal="center" vertical="center" wrapText="1"/>
      <protection/>
    </xf>
    <xf numFmtId="0" fontId="2" fillId="29" borderId="11" xfId="0" applyFont="1" applyFill="1" applyBorder="1" applyAlignment="1">
      <alignment horizontal="center" vertical="center" wrapText="1"/>
    </xf>
    <xf numFmtId="49" fontId="34" fillId="29" borderId="11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top"/>
    </xf>
    <xf numFmtId="0" fontId="41" fillId="0" borderId="23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/>
    </xf>
    <xf numFmtId="49" fontId="3" fillId="31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1" xfId="53" applyNumberFormat="1" applyFont="1" applyFill="1" applyBorder="1" applyAlignment="1" applyProtection="1">
      <alignment horizontal="center" vertical="center" wrapText="1"/>
      <protection/>
    </xf>
    <xf numFmtId="0" fontId="1" fillId="31" borderId="11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1" fontId="2" fillId="31" borderId="11" xfId="53" applyNumberFormat="1" applyFont="1" applyFill="1" applyBorder="1" applyAlignment="1">
      <alignment horizontal="center" vertical="center" wrapText="1"/>
      <protection/>
    </xf>
    <xf numFmtId="1" fontId="2" fillId="31" borderId="11" xfId="53" applyNumberFormat="1" applyFont="1" applyFill="1" applyBorder="1" applyAlignment="1" applyProtection="1">
      <alignment horizontal="center" vertical="center" wrapText="1"/>
      <protection/>
    </xf>
    <xf numFmtId="1" fontId="3" fillId="31" borderId="11" xfId="53" applyNumberFormat="1" applyFont="1" applyFill="1" applyBorder="1" applyAlignment="1" applyProtection="1">
      <alignment horizontal="center" vertical="center" wrapText="1"/>
      <protection/>
    </xf>
    <xf numFmtId="1" fontId="3" fillId="31" borderId="11" xfId="0" applyNumberFormat="1" applyFont="1" applyFill="1" applyBorder="1" applyAlignment="1">
      <alignment horizontal="center" vertical="center" wrapText="1"/>
    </xf>
    <xf numFmtId="0" fontId="2" fillId="31" borderId="11" xfId="53" applyFont="1" applyFill="1" applyBorder="1" applyAlignment="1">
      <alignment horizontal="center" vertical="center" wrapText="1"/>
      <protection/>
    </xf>
    <xf numFmtId="0" fontId="3" fillId="31" borderId="11" xfId="53" applyFont="1" applyFill="1" applyBorder="1" applyAlignment="1">
      <alignment horizontal="center" vertical="center" wrapText="1"/>
      <protection/>
    </xf>
    <xf numFmtId="1" fontId="1" fillId="31" borderId="11" xfId="53" applyNumberFormat="1" applyFont="1" applyFill="1" applyBorder="1" applyAlignment="1" applyProtection="1">
      <alignment horizontal="center" vertical="center" wrapText="1"/>
      <protection/>
    </xf>
    <xf numFmtId="1" fontId="1" fillId="31" borderId="11" xfId="0" applyNumberFormat="1" applyFont="1" applyFill="1" applyBorder="1" applyAlignment="1">
      <alignment horizontal="center" vertical="center" wrapText="1"/>
    </xf>
    <xf numFmtId="0" fontId="1" fillId="31" borderId="11" xfId="53" applyNumberFormat="1" applyFont="1" applyFill="1" applyBorder="1" applyAlignment="1" applyProtection="1">
      <alignment horizontal="center" vertical="center" wrapText="1"/>
      <protection/>
    </xf>
    <xf numFmtId="0" fontId="1" fillId="31" borderId="11" xfId="53" applyFont="1" applyFill="1" applyBorder="1" applyAlignment="1">
      <alignment horizontal="center" vertical="center" wrapText="1"/>
      <protection/>
    </xf>
    <xf numFmtId="0" fontId="5" fillId="31" borderId="11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vertical="center" wrapText="1"/>
    </xf>
    <xf numFmtId="0" fontId="3" fillId="31" borderId="11" xfId="53" applyNumberFormat="1" applyFont="1" applyFill="1" applyBorder="1" applyAlignment="1" applyProtection="1">
      <alignment horizontal="center" vertical="center" wrapText="1"/>
      <protection/>
    </xf>
    <xf numFmtId="0" fontId="5" fillId="31" borderId="11" xfId="53" applyNumberFormat="1" applyFont="1" applyFill="1" applyBorder="1" applyAlignment="1" applyProtection="1">
      <alignment horizontal="center" vertical="center" wrapText="1"/>
      <protection/>
    </xf>
    <xf numFmtId="49" fontId="3" fillId="31" borderId="12" xfId="0" applyNumberFormat="1" applyFont="1" applyFill="1" applyBorder="1" applyAlignment="1">
      <alignment horizontal="center" vertical="center" wrapText="1"/>
    </xf>
    <xf numFmtId="49" fontId="3" fillId="31" borderId="24" xfId="0" applyNumberFormat="1" applyFont="1" applyFill="1" applyBorder="1" applyAlignment="1">
      <alignment vertical="center" wrapText="1"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1" xfId="53" applyNumberFormat="1" applyFont="1" applyFill="1" applyBorder="1" applyAlignment="1" applyProtection="1">
      <alignment horizontal="center" vertical="center" wrapText="1"/>
      <protection/>
    </xf>
    <xf numFmtId="0" fontId="2" fillId="31" borderId="11" xfId="53" applyNumberFormat="1" applyFont="1" applyFill="1" applyBorder="1" applyAlignment="1">
      <alignment horizontal="center" vertical="center" wrapText="1"/>
      <protection/>
    </xf>
    <xf numFmtId="0" fontId="1" fillId="31" borderId="11" xfId="0" applyNumberFormat="1" applyFont="1" applyFill="1" applyBorder="1" applyAlignment="1">
      <alignment horizontal="center" vertical="center" wrapText="1"/>
    </xf>
    <xf numFmtId="0" fontId="5" fillId="31" borderId="11" xfId="53" applyFont="1" applyFill="1" applyBorder="1" applyAlignment="1">
      <alignment horizontal="center" vertical="center" wrapText="1"/>
      <protection/>
    </xf>
    <xf numFmtId="0" fontId="26" fillId="31" borderId="11" xfId="53" applyNumberFormat="1" applyFont="1" applyFill="1" applyBorder="1" applyAlignment="1" applyProtection="1">
      <alignment horizontal="center" vertical="center" wrapText="1"/>
      <protection/>
    </xf>
    <xf numFmtId="0" fontId="2" fillId="31" borderId="18" xfId="0" applyFont="1" applyFill="1" applyBorder="1" applyAlignment="1">
      <alignment horizontal="center" vertical="center" wrapText="1"/>
    </xf>
    <xf numFmtId="0" fontId="1" fillId="31" borderId="18" xfId="0" applyFont="1" applyFill="1" applyBorder="1" applyAlignment="1">
      <alignment horizontal="center" vertical="center" wrapText="1"/>
    </xf>
    <xf numFmtId="0" fontId="3" fillId="31" borderId="18" xfId="53" applyNumberFormat="1" applyFont="1" applyFill="1" applyBorder="1" applyAlignment="1" applyProtection="1">
      <alignment horizontal="center" vertical="center" wrapText="1"/>
      <protection/>
    </xf>
    <xf numFmtId="49" fontId="3" fillId="31" borderId="18" xfId="0" applyNumberFormat="1" applyFont="1" applyFill="1" applyBorder="1" applyAlignment="1">
      <alignment vertical="center" wrapText="1"/>
    </xf>
    <xf numFmtId="0" fontId="3" fillId="31" borderId="18" xfId="0" applyFont="1" applyFill="1" applyBorder="1" applyAlignment="1">
      <alignment vertical="center" wrapText="1"/>
    </xf>
    <xf numFmtId="0" fontId="2" fillId="31" borderId="18" xfId="0" applyFont="1" applyFill="1" applyBorder="1" applyAlignment="1">
      <alignment vertical="center" wrapText="1"/>
    </xf>
    <xf numFmtId="0" fontId="1" fillId="31" borderId="18" xfId="0" applyFont="1" applyFill="1" applyBorder="1" applyAlignment="1">
      <alignment vertical="center" wrapText="1"/>
    </xf>
    <xf numFmtId="0" fontId="2" fillId="31" borderId="18" xfId="53" applyNumberFormat="1" applyFont="1" applyFill="1" applyBorder="1" applyAlignment="1" applyProtection="1">
      <alignment vertical="center" wrapText="1"/>
      <protection/>
    </xf>
    <xf numFmtId="0" fontId="5" fillId="31" borderId="18" xfId="53" applyNumberFormat="1" applyFont="1" applyFill="1" applyBorder="1" applyAlignment="1" applyProtection="1">
      <alignment vertical="center" wrapText="1"/>
      <protection/>
    </xf>
    <xf numFmtId="0" fontId="3" fillId="31" borderId="18" xfId="53" applyFont="1" applyFill="1" applyBorder="1" applyAlignment="1">
      <alignment vertical="center" wrapText="1"/>
      <protection/>
    </xf>
    <xf numFmtId="0" fontId="26" fillId="31" borderId="11" xfId="0" applyFont="1" applyFill="1" applyBorder="1" applyAlignment="1">
      <alignment horizontal="center" vertical="center" wrapText="1"/>
    </xf>
    <xf numFmtId="3" fontId="3" fillId="31" borderId="11" xfId="53" applyNumberFormat="1" applyFont="1" applyFill="1" applyBorder="1" applyAlignment="1" applyProtection="1">
      <alignment horizontal="center" vertical="center" wrapText="1"/>
      <protection/>
    </xf>
    <xf numFmtId="0" fontId="3" fillId="31" borderId="11" xfId="53" applyFont="1" applyFill="1" applyBorder="1" applyAlignment="1">
      <alignment horizontal="left" vertical="center" wrapText="1"/>
      <protection/>
    </xf>
    <xf numFmtId="49" fontId="1" fillId="31" borderId="11" xfId="0" applyNumberFormat="1" applyFont="1" applyFill="1" applyBorder="1" applyAlignment="1">
      <alignment horizontal="center" vertical="center" wrapText="1"/>
    </xf>
    <xf numFmtId="0" fontId="3" fillId="29" borderId="11" xfId="53" applyNumberFormat="1" applyFont="1" applyFill="1" applyBorder="1" applyAlignment="1" applyProtection="1">
      <alignment horizontal="center" vertical="center" wrapText="1"/>
      <protection/>
    </xf>
    <xf numFmtId="0" fontId="1" fillId="29" borderId="23" xfId="0" applyFont="1" applyFill="1" applyBorder="1" applyAlignment="1">
      <alignment horizontal="center" vertical="center" wrapText="1"/>
    </xf>
    <xf numFmtId="0" fontId="1" fillId="29" borderId="11" xfId="53" applyFont="1" applyFill="1" applyBorder="1" applyAlignment="1">
      <alignment horizontal="center" vertical="center" wrapText="1"/>
      <protection/>
    </xf>
    <xf numFmtId="0" fontId="40" fillId="29" borderId="11" xfId="0" applyFont="1" applyFill="1" applyBorder="1" applyAlignment="1">
      <alignment vertical="top" wrapText="1"/>
    </xf>
    <xf numFmtId="49" fontId="40" fillId="28" borderId="11" xfId="0" applyNumberFormat="1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top" wrapText="1"/>
    </xf>
    <xf numFmtId="0" fontId="40" fillId="28" borderId="11" xfId="0" applyFont="1" applyFill="1" applyBorder="1" applyAlignment="1">
      <alignment horizontal="center"/>
    </xf>
    <xf numFmtId="0" fontId="40" fillId="28" borderId="18" xfId="0" applyFont="1" applyFill="1" applyBorder="1" applyAlignment="1">
      <alignment horizontal="center" vertical="top"/>
    </xf>
    <xf numFmtId="0" fontId="40" fillId="27" borderId="11" xfId="0" applyFont="1" applyFill="1" applyBorder="1" applyAlignment="1">
      <alignment horizontal="center" wrapText="1"/>
    </xf>
    <xf numFmtId="0" fontId="40" fillId="27" borderId="18" xfId="0" applyFont="1" applyFill="1" applyBorder="1" applyAlignment="1">
      <alignment horizontal="center" vertical="center" wrapText="1"/>
    </xf>
    <xf numFmtId="49" fontId="40" fillId="27" borderId="11" xfId="0" applyNumberFormat="1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35" fillId="28" borderId="27" xfId="0" applyFont="1" applyFill="1" applyBorder="1" applyAlignment="1">
      <alignment vertical="top" wrapText="1"/>
    </xf>
    <xf numFmtId="0" fontId="35" fillId="28" borderId="28" xfId="0" applyFont="1" applyFill="1" applyBorder="1" applyAlignment="1">
      <alignment vertical="top" wrapText="1"/>
    </xf>
    <xf numFmtId="0" fontId="35" fillId="28" borderId="24" xfId="0" applyFont="1" applyFill="1" applyBorder="1" applyAlignment="1">
      <alignment vertical="top" wrapText="1"/>
    </xf>
    <xf numFmtId="0" fontId="1" fillId="28" borderId="11" xfId="0" applyFont="1" applyFill="1" applyBorder="1" applyAlignment="1">
      <alignment horizontal="center" vertical="top" wrapText="1"/>
    </xf>
    <xf numFmtId="0" fontId="1" fillId="28" borderId="11" xfId="0" applyFont="1" applyFill="1" applyBorder="1" applyAlignment="1">
      <alignment vertical="top" wrapText="1"/>
    </xf>
    <xf numFmtId="49" fontId="1" fillId="28" borderId="11" xfId="0" applyNumberFormat="1" applyFont="1" applyFill="1" applyBorder="1" applyAlignment="1">
      <alignment horizontal="center" vertical="top" wrapText="1"/>
    </xf>
    <xf numFmtId="0" fontId="1" fillId="28" borderId="12" xfId="0" applyFont="1" applyFill="1" applyBorder="1" applyAlignment="1">
      <alignment horizontal="center" vertical="top" wrapText="1"/>
    </xf>
    <xf numFmtId="0" fontId="1" fillId="28" borderId="11" xfId="0" applyFont="1" applyFill="1" applyBorder="1" applyAlignment="1">
      <alignment/>
    </xf>
    <xf numFmtId="0" fontId="1" fillId="28" borderId="18" xfId="0" applyFont="1" applyFill="1" applyBorder="1" applyAlignment="1">
      <alignment horizontal="center" vertical="top" wrapText="1"/>
    </xf>
    <xf numFmtId="0" fontId="1" fillId="28" borderId="11" xfId="0" applyFont="1" applyFill="1" applyBorder="1" applyAlignment="1">
      <alignment horizontal="center" vertical="top"/>
    </xf>
    <xf numFmtId="0" fontId="1" fillId="27" borderId="27" xfId="0" applyFont="1" applyFill="1" applyBorder="1" applyAlignment="1">
      <alignment horizontal="center" vertical="top" wrapText="1"/>
    </xf>
    <xf numFmtId="0" fontId="1" fillId="27" borderId="11" xfId="0" applyFont="1" applyFill="1" applyBorder="1" applyAlignment="1">
      <alignment horizontal="center" vertical="top" wrapText="1"/>
    </xf>
    <xf numFmtId="0" fontId="1" fillId="27" borderId="18" xfId="0" applyFont="1" applyFill="1" applyBorder="1" applyAlignment="1">
      <alignment horizontal="center" vertical="top" wrapText="1"/>
    </xf>
    <xf numFmtId="0" fontId="1" fillId="27" borderId="18" xfId="0" applyFont="1" applyFill="1" applyBorder="1" applyAlignment="1">
      <alignment vertical="top" wrapText="1"/>
    </xf>
    <xf numFmtId="0" fontId="1" fillId="27" borderId="11" xfId="0" applyFont="1" applyFill="1" applyBorder="1" applyAlignment="1">
      <alignment horizontal="center" vertical="top"/>
    </xf>
    <xf numFmtId="0" fontId="1" fillId="27" borderId="11" xfId="0" applyFont="1" applyFill="1" applyBorder="1" applyAlignment="1">
      <alignment/>
    </xf>
    <xf numFmtId="0" fontId="1" fillId="27" borderId="29" xfId="0" applyFont="1" applyFill="1" applyBorder="1" applyAlignment="1">
      <alignment horizontal="center" vertical="center" wrapText="1"/>
    </xf>
    <xf numFmtId="0" fontId="1" fillId="27" borderId="30" xfId="0" applyFont="1" applyFill="1" applyBorder="1" applyAlignment="1">
      <alignment horizontal="center" vertical="top" wrapText="1"/>
    </xf>
    <xf numFmtId="0" fontId="1" fillId="27" borderId="31" xfId="0" applyFont="1" applyFill="1" applyBorder="1" applyAlignment="1">
      <alignment horizontal="center" vertical="top" wrapText="1"/>
    </xf>
    <xf numFmtId="0" fontId="1" fillId="27" borderId="23" xfId="0" applyFont="1" applyFill="1" applyBorder="1" applyAlignment="1">
      <alignment horizontal="center" vertical="top" wrapText="1"/>
    </xf>
    <xf numFmtId="0" fontId="3" fillId="31" borderId="12" xfId="0" applyFont="1" applyFill="1" applyBorder="1" applyAlignment="1">
      <alignment horizontal="center" vertical="center" wrapText="1"/>
    </xf>
    <xf numFmtId="49" fontId="2" fillId="28" borderId="0" xfId="0" applyNumberFormat="1" applyFont="1" applyFill="1" applyBorder="1" applyAlignment="1">
      <alignment horizontal="center" vertical="center" wrapText="1"/>
    </xf>
    <xf numFmtId="0" fontId="46" fillId="28" borderId="0" xfId="0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1" xfId="53" applyNumberFormat="1" applyFont="1" applyFill="1" applyBorder="1" applyAlignment="1" applyProtection="1">
      <alignment horizontal="center" vertical="center" wrapText="1"/>
      <protection/>
    </xf>
    <xf numFmtId="1" fontId="2" fillId="32" borderId="11" xfId="53" applyNumberFormat="1" applyFont="1" applyFill="1" applyBorder="1" applyAlignment="1">
      <alignment horizontal="center" vertical="center" wrapText="1"/>
      <protection/>
    </xf>
    <xf numFmtId="0" fontId="2" fillId="32" borderId="11" xfId="53" applyNumberFormat="1" applyFont="1" applyFill="1" applyBorder="1" applyAlignment="1">
      <alignment horizontal="center" vertical="center" wrapText="1"/>
      <protection/>
    </xf>
    <xf numFmtId="1" fontId="1" fillId="32" borderId="11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center" wrapText="1"/>
    </xf>
    <xf numFmtId="0" fontId="1" fillId="32" borderId="11" xfId="53" applyNumberFormat="1" applyFont="1" applyFill="1" applyBorder="1" applyAlignment="1" applyProtection="1">
      <alignment horizontal="center" vertical="center" wrapText="1"/>
      <protection/>
    </xf>
    <xf numFmtId="0" fontId="40" fillId="28" borderId="12" xfId="0" applyFont="1" applyFill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" fontId="3" fillId="31" borderId="27" xfId="0" applyNumberFormat="1" applyFont="1" applyFill="1" applyBorder="1" applyAlignment="1">
      <alignment horizontal="center" vertical="center" wrapText="1"/>
    </xf>
    <xf numFmtId="0" fontId="36" fillId="31" borderId="27" xfId="0" applyFont="1" applyFill="1" applyBorder="1" applyAlignment="1">
      <alignment vertical="center" wrapText="1"/>
    </xf>
    <xf numFmtId="0" fontId="36" fillId="31" borderId="27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 wrapText="1"/>
    </xf>
    <xf numFmtId="0" fontId="35" fillId="31" borderId="12" xfId="0" applyFont="1" applyFill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" vertical="center" wrapText="1"/>
    </xf>
    <xf numFmtId="0" fontId="36" fillId="29" borderId="12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5" fillId="31" borderId="12" xfId="53" applyNumberFormat="1" applyFont="1" applyFill="1" applyBorder="1" applyAlignment="1" applyProtection="1">
      <alignment horizontal="center" vertical="center" wrapText="1"/>
      <protection/>
    </xf>
    <xf numFmtId="0" fontId="35" fillId="29" borderId="12" xfId="0" applyFont="1" applyFill="1" applyBorder="1" applyAlignment="1">
      <alignment horizontal="center" vertical="center" wrapText="1"/>
    </xf>
    <xf numFmtId="0" fontId="3" fillId="31" borderId="12" xfId="53" applyNumberFormat="1" applyFont="1" applyFill="1" applyBorder="1" applyAlignment="1" applyProtection="1">
      <alignment horizontal="center" vertical="center" wrapText="1"/>
      <protection/>
    </xf>
    <xf numFmtId="0" fontId="40" fillId="28" borderId="12" xfId="0" applyFont="1" applyFill="1" applyBorder="1" applyAlignment="1">
      <alignment horizontal="center" vertical="top"/>
    </xf>
    <xf numFmtId="0" fontId="40" fillId="27" borderId="27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29" borderId="12" xfId="0" applyFont="1" applyFill="1" applyBorder="1" applyAlignment="1">
      <alignment horizontal="center"/>
    </xf>
    <xf numFmtId="0" fontId="40" fillId="27" borderId="12" xfId="0" applyFont="1" applyFill="1" applyBorder="1" applyAlignment="1">
      <alignment horizontal="center"/>
    </xf>
    <xf numFmtId="0" fontId="40" fillId="27" borderId="12" xfId="0" applyFont="1" applyFill="1" applyBorder="1" applyAlignment="1">
      <alignment horizontal="center" vertical="top"/>
    </xf>
    <xf numFmtId="0" fontId="40" fillId="0" borderId="12" xfId="0" applyFont="1" applyFill="1" applyBorder="1" applyAlignment="1">
      <alignment horizontal="center" vertical="center"/>
    </xf>
    <xf numFmtId="0" fontId="35" fillId="28" borderId="12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/>
    </xf>
    <xf numFmtId="0" fontId="40" fillId="30" borderId="12" xfId="0" applyFont="1" applyFill="1" applyBorder="1" applyAlignment="1">
      <alignment horizontal="center"/>
    </xf>
    <xf numFmtId="0" fontId="40" fillId="27" borderId="12" xfId="0" applyFont="1" applyFill="1" applyBorder="1" applyAlignment="1">
      <alignment horizontal="center" vertical="top" wrapText="1"/>
    </xf>
    <xf numFmtId="0" fontId="2" fillId="31" borderId="11" xfId="0" applyFont="1" applyFill="1" applyBorder="1" applyAlignment="1">
      <alignment vertical="center" wrapText="1"/>
    </xf>
    <xf numFmtId="49" fontId="3" fillId="31" borderId="18" xfId="0" applyNumberFormat="1" applyFont="1" applyFill="1" applyBorder="1" applyAlignment="1">
      <alignment horizontal="center" vertical="center" wrapText="1"/>
    </xf>
    <xf numFmtId="49" fontId="3" fillId="31" borderId="31" xfId="0" applyNumberFormat="1" applyFont="1" applyFill="1" applyBorder="1" applyAlignment="1">
      <alignment horizontal="center" vertical="center" wrapText="1"/>
    </xf>
    <xf numFmtId="0" fontId="1" fillId="31" borderId="18" xfId="0" applyFont="1" applyFill="1" applyBorder="1" applyAlignment="1">
      <alignment horizontal="center" vertical="center" wrapText="1"/>
    </xf>
    <xf numFmtId="0" fontId="1" fillId="31" borderId="31" xfId="0" applyFont="1" applyFill="1" applyBorder="1" applyAlignment="1">
      <alignment horizontal="center" vertical="center" wrapText="1"/>
    </xf>
    <xf numFmtId="0" fontId="1" fillId="31" borderId="23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24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3" fillId="31" borderId="18" xfId="53" applyFont="1" applyFill="1" applyBorder="1" applyAlignment="1">
      <alignment horizontal="center" vertical="center" wrapText="1"/>
      <protection/>
    </xf>
    <xf numFmtId="0" fontId="3" fillId="31" borderId="23" xfId="53" applyFont="1" applyFill="1" applyBorder="1" applyAlignment="1">
      <alignment horizontal="center" vertical="center" wrapText="1"/>
      <protection/>
    </xf>
    <xf numFmtId="0" fontId="3" fillId="31" borderId="18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 wrapText="1"/>
    </xf>
    <xf numFmtId="0" fontId="35" fillId="31" borderId="27" xfId="0" applyFont="1" applyFill="1" applyBorder="1" applyAlignment="1">
      <alignment horizontal="center" vertical="center" wrapText="1"/>
    </xf>
    <xf numFmtId="0" fontId="35" fillId="31" borderId="32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49" fontId="2" fillId="31" borderId="24" xfId="0" applyNumberFormat="1" applyFont="1" applyFill="1" applyBorder="1" applyAlignment="1">
      <alignment horizontal="center" vertical="center" wrapText="1"/>
    </xf>
    <xf numFmtId="0" fontId="1" fillId="31" borderId="18" xfId="53" applyNumberFormat="1" applyFont="1" applyFill="1" applyBorder="1" applyAlignment="1" applyProtection="1">
      <alignment horizontal="center" vertical="center" wrapText="1"/>
      <protection/>
    </xf>
    <xf numFmtId="0" fontId="1" fillId="31" borderId="23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 vertical="center" textRotation="90" wrapText="1"/>
      <protection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0" fontId="3" fillId="4" borderId="33" xfId="53" applyFont="1" applyFill="1" applyBorder="1" applyAlignment="1">
      <alignment horizontal="center" vertical="center" textRotation="90" wrapText="1"/>
      <protection/>
    </xf>
    <xf numFmtId="0" fontId="3" fillId="4" borderId="34" xfId="53" applyFont="1" applyFill="1" applyBorder="1" applyAlignment="1">
      <alignment horizontal="center" vertical="center" textRotation="90" wrapText="1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" fillId="4" borderId="39" xfId="53" applyFont="1" applyFill="1" applyBorder="1" applyAlignment="1">
      <alignment horizontal="center" vertical="center" textRotation="90" wrapText="1"/>
      <protection/>
    </xf>
    <xf numFmtId="0" fontId="3" fillId="4" borderId="14" xfId="53" applyFont="1" applyFill="1" applyBorder="1" applyAlignment="1">
      <alignment horizontal="center" vertical="center" textRotation="90" wrapText="1"/>
      <protection/>
    </xf>
    <xf numFmtId="0" fontId="3" fillId="0" borderId="33" xfId="53" applyFont="1" applyFill="1" applyBorder="1" applyAlignment="1">
      <alignment horizontal="center" vertical="center" textRotation="90" wrapText="1"/>
      <protection/>
    </xf>
    <xf numFmtId="0" fontId="3" fillId="0" borderId="34" xfId="53" applyFont="1" applyFill="1" applyBorder="1" applyAlignment="1">
      <alignment horizontal="center" vertical="center" textRotation="90" wrapText="1"/>
      <protection/>
    </xf>
    <xf numFmtId="0" fontId="3" fillId="4" borderId="15" xfId="53" applyFont="1" applyFill="1" applyBorder="1" applyAlignment="1">
      <alignment horizontal="center" vertical="center" textRotation="90" wrapText="1"/>
      <protection/>
    </xf>
    <xf numFmtId="0" fontId="3" fillId="4" borderId="10" xfId="53" applyFont="1" applyFill="1" applyBorder="1" applyAlignment="1">
      <alignment horizontal="center" vertical="center" textRotation="90" wrapText="1"/>
      <protection/>
    </xf>
    <xf numFmtId="0" fontId="3" fillId="0" borderId="39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3" fillId="0" borderId="40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36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textRotation="90" wrapText="1"/>
    </xf>
    <xf numFmtId="0" fontId="2" fillId="0" borderId="18" xfId="53" applyNumberFormat="1" applyFont="1" applyFill="1" applyBorder="1" applyAlignment="1" applyProtection="1">
      <alignment horizontal="center" vertical="center" wrapText="1"/>
      <protection/>
    </xf>
    <xf numFmtId="0" fontId="2" fillId="0" borderId="31" xfId="53" applyNumberFormat="1" applyFont="1" applyFill="1" applyBorder="1" applyAlignment="1" applyProtection="1">
      <alignment horizontal="center" vertical="center" wrapText="1"/>
      <protection/>
    </xf>
    <xf numFmtId="0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25" borderId="40" xfId="53" applyFont="1" applyFill="1" applyBorder="1" applyAlignment="1">
      <alignment horizontal="center" vertical="center" wrapText="1"/>
      <protection/>
    </xf>
    <xf numFmtId="0" fontId="3" fillId="25" borderId="13" xfId="53" applyFont="1" applyFill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31" xfId="53" applyFont="1" applyFill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horizontal="center" vertical="center" wrapText="1"/>
      <protection/>
    </xf>
    <xf numFmtId="0" fontId="1" fillId="31" borderId="31" xfId="53" applyNumberFormat="1" applyFont="1" applyFill="1" applyBorder="1" applyAlignment="1" applyProtection="1">
      <alignment horizontal="center" vertical="center" wrapText="1"/>
      <protection/>
    </xf>
    <xf numFmtId="0" fontId="2" fillId="31" borderId="18" xfId="53" applyNumberFormat="1" applyFont="1" applyFill="1" applyBorder="1" applyAlignment="1" applyProtection="1">
      <alignment horizontal="center" vertical="center" wrapText="1"/>
      <protection/>
    </xf>
    <xf numFmtId="0" fontId="2" fillId="31" borderId="31" xfId="53" applyNumberFormat="1" applyFont="1" applyFill="1" applyBorder="1" applyAlignment="1" applyProtection="1">
      <alignment horizontal="center" vertical="center" wrapText="1"/>
      <protection/>
    </xf>
    <xf numFmtId="0" fontId="2" fillId="31" borderId="23" xfId="53" applyNumberFormat="1" applyFont="1" applyFill="1" applyBorder="1" applyAlignment="1" applyProtection="1">
      <alignment horizontal="center" vertical="center" wrapText="1"/>
      <protection/>
    </xf>
    <xf numFmtId="0" fontId="3" fillId="31" borderId="27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  <xf numFmtId="0" fontId="3" fillId="31" borderId="32" xfId="0" applyFont="1" applyFill="1" applyBorder="1" applyAlignment="1">
      <alignment horizontal="center" vertical="center" wrapText="1"/>
    </xf>
    <xf numFmtId="0" fontId="3" fillId="31" borderId="31" xfId="0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center" vertical="center" wrapText="1"/>
    </xf>
    <xf numFmtId="0" fontId="2" fillId="31" borderId="31" xfId="0" applyFont="1" applyFill="1" applyBorder="1" applyAlignment="1">
      <alignment horizontal="center" vertical="center" wrapText="1"/>
    </xf>
    <xf numFmtId="0" fontId="2" fillId="31" borderId="23" xfId="0" applyFont="1" applyFill="1" applyBorder="1" applyAlignment="1">
      <alignment horizontal="center" vertical="center" wrapText="1"/>
    </xf>
    <xf numFmtId="0" fontId="1" fillId="31" borderId="18" xfId="0" applyFont="1" applyFill="1" applyBorder="1" applyAlignment="1">
      <alignment vertical="center" wrapText="1"/>
    </xf>
    <xf numFmtId="0" fontId="1" fillId="31" borderId="31" xfId="0" applyFont="1" applyFill="1" applyBorder="1" applyAlignment="1">
      <alignment vertical="center" wrapText="1"/>
    </xf>
    <xf numFmtId="0" fontId="1" fillId="31" borderId="23" xfId="0" applyFont="1" applyFill="1" applyBorder="1" applyAlignment="1">
      <alignment vertical="center" wrapText="1"/>
    </xf>
    <xf numFmtId="0" fontId="3" fillId="31" borderId="18" xfId="53" applyNumberFormat="1" applyFont="1" applyFill="1" applyBorder="1" applyAlignment="1" applyProtection="1">
      <alignment horizontal="center" vertical="center" wrapText="1"/>
      <protection/>
    </xf>
    <xf numFmtId="0" fontId="3" fillId="31" borderId="31" xfId="53" applyNumberFormat="1" applyFont="1" applyFill="1" applyBorder="1" applyAlignment="1" applyProtection="1">
      <alignment horizontal="center" vertical="center" wrapText="1"/>
      <protection/>
    </xf>
    <xf numFmtId="0" fontId="3" fillId="31" borderId="23" xfId="53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31" xfId="53" applyNumberFormat="1" applyFont="1" applyFill="1" applyBorder="1" applyAlignment="1" applyProtection="1">
      <alignment horizontal="center" vertical="center" wrapText="1"/>
      <protection/>
    </xf>
    <xf numFmtId="0" fontId="1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3" fillId="31" borderId="27" xfId="53" applyFont="1" applyFill="1" applyBorder="1" applyAlignment="1">
      <alignment horizontal="center" vertical="center" wrapText="1"/>
      <protection/>
    </xf>
    <xf numFmtId="0" fontId="3" fillId="31" borderId="32" xfId="53" applyFont="1" applyFill="1" applyBorder="1" applyAlignment="1">
      <alignment horizontal="center" vertical="center" wrapText="1"/>
      <protection/>
    </xf>
    <xf numFmtId="0" fontId="3" fillId="31" borderId="11" xfId="53" applyNumberFormat="1" applyFont="1" applyFill="1" applyBorder="1" applyAlignment="1" applyProtection="1">
      <alignment horizontal="center" vertical="center" wrapText="1"/>
      <protection/>
    </xf>
    <xf numFmtId="0" fontId="2" fillId="31" borderId="11" xfId="53" applyNumberFormat="1" applyFont="1" applyFill="1" applyBorder="1" applyAlignment="1" applyProtection="1">
      <alignment horizontal="center" vertical="center" wrapText="1"/>
      <protection/>
    </xf>
    <xf numFmtId="0" fontId="40" fillId="27" borderId="11" xfId="0" applyFont="1" applyFill="1" applyBorder="1" applyAlignment="1">
      <alignment horizontal="center" vertical="top" wrapText="1"/>
    </xf>
    <xf numFmtId="0" fontId="40" fillId="27" borderId="18" xfId="0" applyFont="1" applyFill="1" applyBorder="1" applyAlignment="1">
      <alignment horizontal="center" vertical="top" wrapText="1"/>
    </xf>
    <xf numFmtId="0" fontId="40" fillId="27" borderId="31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center" wrapText="1"/>
    </xf>
    <xf numFmtId="0" fontId="40" fillId="27" borderId="23" xfId="0" applyFont="1" applyFill="1" applyBorder="1" applyAlignment="1">
      <alignment horizontal="center" vertical="top" wrapText="1"/>
    </xf>
    <xf numFmtId="0" fontId="40" fillId="27" borderId="18" xfId="0" applyNumberFormat="1" applyFont="1" applyFill="1" applyBorder="1" applyAlignment="1">
      <alignment horizontal="center" vertical="top" wrapText="1"/>
    </xf>
    <xf numFmtId="0" fontId="40" fillId="27" borderId="31" xfId="0" applyNumberFormat="1" applyFont="1" applyFill="1" applyBorder="1" applyAlignment="1">
      <alignment horizontal="center" vertical="top" wrapText="1"/>
    </xf>
    <xf numFmtId="0" fontId="40" fillId="27" borderId="27" xfId="0" applyFont="1" applyFill="1" applyBorder="1" applyAlignment="1">
      <alignment horizontal="center" vertical="top" wrapText="1"/>
    </xf>
    <xf numFmtId="0" fontId="40" fillId="27" borderId="30" xfId="0" applyFont="1" applyFill="1" applyBorder="1" applyAlignment="1">
      <alignment horizontal="center" vertical="top" wrapText="1"/>
    </xf>
    <xf numFmtId="0" fontId="40" fillId="27" borderId="18" xfId="0" applyNumberFormat="1" applyFont="1" applyFill="1" applyBorder="1" applyAlignment="1">
      <alignment horizontal="center" vertical="center" wrapText="1"/>
    </xf>
    <xf numFmtId="0" fontId="40" fillId="27" borderId="31" xfId="0" applyNumberFormat="1" applyFont="1" applyFill="1" applyBorder="1" applyAlignment="1">
      <alignment horizontal="center" vertical="center" wrapText="1"/>
    </xf>
    <xf numFmtId="0" fontId="40" fillId="27" borderId="23" xfId="0" applyNumberFormat="1" applyFont="1" applyFill="1" applyBorder="1" applyAlignment="1">
      <alignment horizontal="center" vertical="top" wrapText="1"/>
    </xf>
    <xf numFmtId="0" fontId="40" fillId="27" borderId="32" xfId="0" applyFont="1" applyFill="1" applyBorder="1" applyAlignment="1">
      <alignment horizontal="center" vertical="top" wrapText="1"/>
    </xf>
    <xf numFmtId="49" fontId="1" fillId="31" borderId="18" xfId="0" applyNumberFormat="1" applyFont="1" applyFill="1" applyBorder="1" applyAlignment="1">
      <alignment horizontal="center" vertical="center" wrapText="1"/>
    </xf>
    <xf numFmtId="49" fontId="1" fillId="31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удование" xfId="53"/>
    <cellStyle name="Обычный_Приложение №2 дог17_УГЭС Перечень ТП на 22 авг 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23"/>
  <sheetViews>
    <sheetView tabSelected="1" view="pageBreakPreview" zoomScaleSheetLayoutView="100" zoomScalePageLayoutView="0" workbookViewId="0" topLeftCell="A36">
      <selection activeCell="AO4" sqref="AO4:AO5"/>
    </sheetView>
  </sheetViews>
  <sheetFormatPr defaultColWidth="9.00390625" defaultRowHeight="12.75"/>
  <cols>
    <col min="1" max="1" width="10.125" style="1" customWidth="1"/>
    <col min="2" max="2" width="18.125" style="2" customWidth="1"/>
    <col min="3" max="3" width="11.125" style="2" customWidth="1"/>
    <col min="4" max="4" width="8.625" style="2" hidden="1" customWidth="1"/>
    <col min="5" max="5" width="9.125" style="2" customWidth="1"/>
    <col min="6" max="6" width="6.75390625" style="2" customWidth="1"/>
    <col min="7" max="7" width="6.125" style="4" hidden="1" customWidth="1"/>
    <col min="8" max="8" width="6.125" style="2" hidden="1" customWidth="1"/>
    <col min="9" max="10" width="6.375" style="4" hidden="1" customWidth="1"/>
    <col min="11" max="11" width="6.375" style="2" hidden="1" customWidth="1"/>
    <col min="12" max="12" width="7.875" style="2" hidden="1" customWidth="1"/>
    <col min="13" max="13" width="7.875" style="4" hidden="1" customWidth="1"/>
    <col min="14" max="14" width="7.875" style="2" hidden="1" customWidth="1"/>
    <col min="15" max="15" width="6.125" style="4" hidden="1" customWidth="1"/>
    <col min="16" max="19" width="6.125" style="2" hidden="1" customWidth="1"/>
    <col min="20" max="27" width="5.125" style="2" hidden="1" customWidth="1"/>
    <col min="28" max="28" width="6.00390625" style="2" hidden="1" customWidth="1"/>
    <col min="29" max="34" width="5.125" style="2" hidden="1" customWidth="1"/>
    <col min="35" max="37" width="0" style="2" hidden="1" customWidth="1"/>
    <col min="38" max="38" width="9.125" style="2" hidden="1" customWidth="1"/>
    <col min="39" max="39" width="7.125" style="2" customWidth="1"/>
    <col min="40" max="40" width="25.375" style="2" customWidth="1"/>
    <col min="41" max="41" width="16.00390625" style="2" customWidth="1"/>
    <col min="42" max="42" width="19.125" style="2" customWidth="1"/>
    <col min="43" max="43" width="21.75390625" style="2" customWidth="1"/>
    <col min="44" max="44" width="13.875" style="65" customWidth="1"/>
    <col min="45" max="45" width="13.00390625" style="18" customWidth="1"/>
    <col min="46" max="46" width="9.125" style="116" customWidth="1"/>
    <col min="47" max="47" width="14.625" style="44" customWidth="1"/>
    <col min="48" max="49" width="9.125" style="44" customWidth="1"/>
    <col min="50" max="16384" width="9.125" style="3" customWidth="1"/>
  </cols>
  <sheetData>
    <row r="1" spans="1:45" ht="18.75" customHeight="1">
      <c r="A1" s="310" t="s">
        <v>491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</row>
    <row r="2" spans="1:45" ht="20.25" customHeight="1">
      <c r="A2" s="310" t="s">
        <v>258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</row>
    <row r="3" spans="1:45" ht="16.5" customHeight="1" thickBot="1">
      <c r="A3" s="85">
        <v>43922</v>
      </c>
      <c r="B3" s="70"/>
      <c r="J3" s="10"/>
      <c r="AR3" s="64"/>
      <c r="AS3" s="3"/>
    </row>
    <row r="4" spans="1:118" s="50" customFormat="1" ht="16.5" customHeight="1" thickBot="1">
      <c r="A4" s="311" t="s">
        <v>8</v>
      </c>
      <c r="B4" s="313" t="s">
        <v>9</v>
      </c>
      <c r="C4" s="315" t="s">
        <v>259</v>
      </c>
      <c r="D4" s="317" t="s">
        <v>179</v>
      </c>
      <c r="E4" s="318"/>
      <c r="F4" s="319"/>
      <c r="G4" s="320" t="s">
        <v>198</v>
      </c>
      <c r="H4" s="326" t="s">
        <v>198</v>
      </c>
      <c r="I4" s="306" t="s">
        <v>199</v>
      </c>
      <c r="J4" s="306" t="s">
        <v>200</v>
      </c>
      <c r="K4" s="322" t="s">
        <v>199</v>
      </c>
      <c r="L4" s="322" t="s">
        <v>201</v>
      </c>
      <c r="M4" s="324" t="s">
        <v>202</v>
      </c>
      <c r="N4" s="304" t="s">
        <v>202</v>
      </c>
      <c r="O4" s="306" t="s">
        <v>203</v>
      </c>
      <c r="P4" s="322" t="s">
        <v>203</v>
      </c>
      <c r="Q4" s="322" t="s">
        <v>204</v>
      </c>
      <c r="R4" s="322" t="s">
        <v>183</v>
      </c>
      <c r="S4" s="322" t="s">
        <v>205</v>
      </c>
      <c r="T4" s="317" t="s">
        <v>206</v>
      </c>
      <c r="U4" s="332"/>
      <c r="V4" s="332"/>
      <c r="W4" s="332"/>
      <c r="X4" s="332"/>
      <c r="Y4" s="333"/>
      <c r="Z4" s="334" t="s">
        <v>207</v>
      </c>
      <c r="AA4" s="336" t="s">
        <v>208</v>
      </c>
      <c r="AB4" s="336" t="s">
        <v>209</v>
      </c>
      <c r="AC4" s="336" t="s">
        <v>210</v>
      </c>
      <c r="AD4" s="336" t="s">
        <v>211</v>
      </c>
      <c r="AE4" s="336" t="s">
        <v>212</v>
      </c>
      <c r="AF4" s="336" t="s">
        <v>213</v>
      </c>
      <c r="AG4" s="336" t="s">
        <v>214</v>
      </c>
      <c r="AH4" s="322" t="s">
        <v>253</v>
      </c>
      <c r="AI4" s="322" t="s">
        <v>254</v>
      </c>
      <c r="AJ4" s="329" t="s">
        <v>255</v>
      </c>
      <c r="AK4" s="328" t="s">
        <v>7</v>
      </c>
      <c r="AL4" s="328"/>
      <c r="AM4" s="329" t="s">
        <v>409</v>
      </c>
      <c r="AN4" s="345" t="s">
        <v>182</v>
      </c>
      <c r="AO4" s="328" t="s">
        <v>289</v>
      </c>
      <c r="AP4" s="348" t="s">
        <v>489</v>
      </c>
      <c r="AQ4" s="350" t="s">
        <v>287</v>
      </c>
      <c r="AR4" s="338" t="s">
        <v>260</v>
      </c>
      <c r="AS4" s="340" t="s">
        <v>263</v>
      </c>
      <c r="AT4" s="116"/>
      <c r="AU4" s="44"/>
      <c r="AV4" s="44"/>
      <c r="AW4" s="4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s="5" customFormat="1" ht="99.75" customHeight="1" thickBot="1">
      <c r="A5" s="312"/>
      <c r="B5" s="314"/>
      <c r="C5" s="316"/>
      <c r="D5" s="49" t="s">
        <v>180</v>
      </c>
      <c r="E5" s="51" t="s">
        <v>181</v>
      </c>
      <c r="F5" s="51" t="s">
        <v>576</v>
      </c>
      <c r="G5" s="321"/>
      <c r="H5" s="327"/>
      <c r="I5" s="307"/>
      <c r="J5" s="307"/>
      <c r="K5" s="323"/>
      <c r="L5" s="323"/>
      <c r="M5" s="325"/>
      <c r="N5" s="305"/>
      <c r="O5" s="307"/>
      <c r="P5" s="323"/>
      <c r="Q5" s="323"/>
      <c r="R5" s="323"/>
      <c r="S5" s="331"/>
      <c r="T5" s="52" t="s">
        <v>215</v>
      </c>
      <c r="U5" s="52" t="s">
        <v>216</v>
      </c>
      <c r="V5" s="52" t="s">
        <v>217</v>
      </c>
      <c r="W5" s="53" t="s">
        <v>218</v>
      </c>
      <c r="X5" s="54" t="s">
        <v>219</v>
      </c>
      <c r="Y5" s="55" t="s">
        <v>220</v>
      </c>
      <c r="Z5" s="335"/>
      <c r="AA5" s="337"/>
      <c r="AB5" s="337"/>
      <c r="AC5" s="337"/>
      <c r="AD5" s="337"/>
      <c r="AE5" s="337"/>
      <c r="AF5" s="337"/>
      <c r="AG5" s="337"/>
      <c r="AH5" s="323"/>
      <c r="AI5" s="341"/>
      <c r="AJ5" s="330"/>
      <c r="AK5" s="56" t="s">
        <v>256</v>
      </c>
      <c r="AL5" s="48" t="s">
        <v>257</v>
      </c>
      <c r="AM5" s="330"/>
      <c r="AN5" s="346"/>
      <c r="AO5" s="347"/>
      <c r="AP5" s="349"/>
      <c r="AQ5" s="351"/>
      <c r="AR5" s="339"/>
      <c r="AS5" s="340"/>
      <c r="AT5" s="116"/>
      <c r="AU5" s="44"/>
      <c r="AV5" s="44"/>
      <c r="AW5" s="44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45" ht="13.5" customHeight="1" thickBot="1">
      <c r="A6" s="74">
        <v>1</v>
      </c>
      <c r="B6" s="75">
        <v>2</v>
      </c>
      <c r="C6" s="76">
        <v>3</v>
      </c>
      <c r="D6" s="76">
        <v>4</v>
      </c>
      <c r="E6" s="76">
        <v>4</v>
      </c>
      <c r="F6" s="76">
        <v>5</v>
      </c>
      <c r="G6" s="77">
        <v>8</v>
      </c>
      <c r="H6" s="76">
        <v>8</v>
      </c>
      <c r="I6" s="77">
        <v>9</v>
      </c>
      <c r="J6" s="77"/>
      <c r="K6" s="76">
        <v>9</v>
      </c>
      <c r="L6" s="76">
        <v>11</v>
      </c>
      <c r="M6" s="77">
        <v>12</v>
      </c>
      <c r="N6" s="76">
        <v>12</v>
      </c>
      <c r="O6" s="77">
        <v>13</v>
      </c>
      <c r="P6" s="76">
        <v>13</v>
      </c>
      <c r="Q6" s="76">
        <v>14</v>
      </c>
      <c r="R6" s="76">
        <v>15</v>
      </c>
      <c r="S6" s="76">
        <v>16</v>
      </c>
      <c r="T6" s="76">
        <v>17</v>
      </c>
      <c r="U6" s="76">
        <v>18</v>
      </c>
      <c r="V6" s="76">
        <v>19</v>
      </c>
      <c r="W6" s="76">
        <v>21</v>
      </c>
      <c r="X6" s="76">
        <v>22</v>
      </c>
      <c r="Y6" s="78">
        <v>23</v>
      </c>
      <c r="Z6" s="78">
        <v>24</v>
      </c>
      <c r="AA6" s="69">
        <v>25</v>
      </c>
      <c r="AB6" s="78">
        <v>26</v>
      </c>
      <c r="AC6" s="78">
        <v>27</v>
      </c>
      <c r="AD6" s="78">
        <v>28</v>
      </c>
      <c r="AE6" s="78">
        <v>29</v>
      </c>
      <c r="AF6" s="78">
        <v>30</v>
      </c>
      <c r="AG6" s="79">
        <v>31</v>
      </c>
      <c r="AH6" s="78">
        <v>32</v>
      </c>
      <c r="AI6" s="79">
        <v>33</v>
      </c>
      <c r="AJ6" s="78">
        <v>34</v>
      </c>
      <c r="AK6" s="79">
        <v>35</v>
      </c>
      <c r="AL6" s="78">
        <v>36</v>
      </c>
      <c r="AM6" s="74">
        <v>6</v>
      </c>
      <c r="AN6" s="79">
        <v>7</v>
      </c>
      <c r="AO6" s="78">
        <v>8</v>
      </c>
      <c r="AP6" s="79">
        <v>9</v>
      </c>
      <c r="AQ6" s="80">
        <v>10</v>
      </c>
      <c r="AR6" s="81">
        <v>11</v>
      </c>
      <c r="AS6" s="59">
        <v>12</v>
      </c>
    </row>
    <row r="7" spans="1:46" s="169" customFormat="1" ht="36" customHeight="1">
      <c r="A7" s="165" t="s">
        <v>274</v>
      </c>
      <c r="B7" s="165" t="s">
        <v>301</v>
      </c>
      <c r="C7" s="166" t="s">
        <v>265</v>
      </c>
      <c r="D7" s="166" t="s">
        <v>0</v>
      </c>
      <c r="E7" s="168">
        <v>3200</v>
      </c>
      <c r="F7" s="168">
        <v>2</v>
      </c>
      <c r="G7" s="166" t="s">
        <v>222</v>
      </c>
      <c r="H7" s="166">
        <v>29</v>
      </c>
      <c r="I7" s="166"/>
      <c r="J7" s="166">
        <v>22</v>
      </c>
      <c r="K7" s="166"/>
      <c r="L7" s="166"/>
      <c r="M7" s="166">
        <v>23</v>
      </c>
      <c r="N7" s="166">
        <v>23</v>
      </c>
      <c r="O7" s="166">
        <v>52</v>
      </c>
      <c r="P7" s="166">
        <v>52</v>
      </c>
      <c r="Q7" s="166"/>
      <c r="R7" s="166"/>
      <c r="S7" s="166">
        <v>51</v>
      </c>
      <c r="T7" s="182">
        <v>24</v>
      </c>
      <c r="U7" s="165">
        <v>27</v>
      </c>
      <c r="V7" s="165">
        <v>2</v>
      </c>
      <c r="W7" s="165">
        <v>2</v>
      </c>
      <c r="X7" s="165">
        <v>28</v>
      </c>
      <c r="Y7" s="165">
        <v>1</v>
      </c>
      <c r="Z7" s="165"/>
      <c r="AA7" s="165"/>
      <c r="AB7" s="165"/>
      <c r="AC7" s="165"/>
      <c r="AD7" s="165"/>
      <c r="AE7" s="165"/>
      <c r="AF7" s="165"/>
      <c r="AG7" s="165"/>
      <c r="AH7" s="166">
        <v>0</v>
      </c>
      <c r="AI7" s="166">
        <v>24</v>
      </c>
      <c r="AJ7" s="166">
        <v>2</v>
      </c>
      <c r="AK7" s="166">
        <v>23</v>
      </c>
      <c r="AL7" s="166">
        <v>2</v>
      </c>
      <c r="AM7" s="167">
        <v>1983</v>
      </c>
      <c r="AN7" s="168" t="s">
        <v>10</v>
      </c>
      <c r="AO7" s="182">
        <v>13500</v>
      </c>
      <c r="AP7" s="175">
        <f>SUM(AP8:AP19)+530</f>
        <v>7950.5</v>
      </c>
      <c r="AQ7" s="165">
        <f>450+630+22+415+90+101+626+250+25-25-392-30-530</f>
        <v>1632</v>
      </c>
      <c r="AR7" s="238">
        <f>AO7-AP7-AQ7</f>
        <v>3917.5</v>
      </c>
      <c r="AS7" s="166"/>
      <c r="AT7" s="116"/>
    </row>
    <row r="8" spans="1:46" ht="32.25" customHeight="1">
      <c r="A8" s="47" t="s">
        <v>298</v>
      </c>
      <c r="B8" s="8" t="s">
        <v>42</v>
      </c>
      <c r="C8" s="6"/>
      <c r="D8" s="7" t="s">
        <v>3</v>
      </c>
      <c r="E8" s="7">
        <v>630</v>
      </c>
      <c r="F8" s="17">
        <v>2</v>
      </c>
      <c r="G8" s="19">
        <v>8</v>
      </c>
      <c r="H8" s="17">
        <v>8</v>
      </c>
      <c r="I8" s="19"/>
      <c r="J8" s="19">
        <v>8</v>
      </c>
      <c r="K8" s="17"/>
      <c r="L8" s="17"/>
      <c r="M8" s="19"/>
      <c r="N8" s="17"/>
      <c r="O8" s="20">
        <v>4</v>
      </c>
      <c r="P8" s="7">
        <v>4</v>
      </c>
      <c r="Q8" s="7">
        <v>6</v>
      </c>
      <c r="R8" s="7"/>
      <c r="S8" s="7"/>
      <c r="T8" s="14">
        <v>2</v>
      </c>
      <c r="U8" s="9">
        <v>20</v>
      </c>
      <c r="V8" s="9">
        <v>2</v>
      </c>
      <c r="W8" s="9"/>
      <c r="X8" s="9"/>
      <c r="Y8" s="9">
        <v>1</v>
      </c>
      <c r="Z8" s="9"/>
      <c r="AA8" s="9"/>
      <c r="AB8" s="9"/>
      <c r="AC8" s="9"/>
      <c r="AD8" s="9"/>
      <c r="AE8" s="9"/>
      <c r="AF8" s="9"/>
      <c r="AG8" s="9"/>
      <c r="AH8" s="7">
        <v>0</v>
      </c>
      <c r="AI8" s="7">
        <v>0</v>
      </c>
      <c r="AJ8" s="17">
        <v>0</v>
      </c>
      <c r="AK8" s="17">
        <v>0</v>
      </c>
      <c r="AL8" s="17">
        <v>2</v>
      </c>
      <c r="AM8" s="7">
        <v>1985</v>
      </c>
      <c r="AN8" s="8" t="s">
        <v>43</v>
      </c>
      <c r="AO8" s="13">
        <v>882</v>
      </c>
      <c r="AP8" s="71">
        <v>164.4</v>
      </c>
      <c r="AQ8" s="8">
        <f>537+25</f>
        <v>562</v>
      </c>
      <c r="AR8" s="255">
        <f>AO8-AP8-AQ8</f>
        <v>155.60000000000002</v>
      </c>
      <c r="AS8" s="6"/>
      <c r="AT8" s="112"/>
    </row>
    <row r="9" spans="1:46" ht="30" customHeight="1">
      <c r="A9" s="47" t="s">
        <v>268</v>
      </c>
      <c r="B9" s="8" t="s">
        <v>191</v>
      </c>
      <c r="C9" s="6"/>
      <c r="D9" s="7" t="s">
        <v>2</v>
      </c>
      <c r="E9" s="7">
        <v>630</v>
      </c>
      <c r="F9" s="17">
        <v>2</v>
      </c>
      <c r="G9" s="19">
        <v>10</v>
      </c>
      <c r="H9" s="17">
        <v>10</v>
      </c>
      <c r="I9" s="19"/>
      <c r="J9" s="19">
        <v>10</v>
      </c>
      <c r="K9" s="17"/>
      <c r="L9" s="17"/>
      <c r="M9" s="19"/>
      <c r="N9" s="17"/>
      <c r="O9" s="20">
        <v>2</v>
      </c>
      <c r="P9" s="7">
        <v>2</v>
      </c>
      <c r="Q9" s="7">
        <v>10</v>
      </c>
      <c r="R9" s="7"/>
      <c r="S9" s="7"/>
      <c r="T9" s="14">
        <v>2</v>
      </c>
      <c r="U9" s="9">
        <v>35</v>
      </c>
      <c r="V9" s="9">
        <v>2</v>
      </c>
      <c r="W9" s="9"/>
      <c r="X9" s="9"/>
      <c r="Y9" s="9">
        <v>1</v>
      </c>
      <c r="Z9" s="9"/>
      <c r="AA9" s="9"/>
      <c r="AB9" s="9"/>
      <c r="AC9" s="9"/>
      <c r="AD9" s="9"/>
      <c r="AE9" s="9"/>
      <c r="AF9" s="9"/>
      <c r="AG9" s="9"/>
      <c r="AH9" s="7">
        <v>0</v>
      </c>
      <c r="AI9" s="7">
        <v>0</v>
      </c>
      <c r="AJ9" s="17">
        <v>0</v>
      </c>
      <c r="AK9" s="17">
        <v>0</v>
      </c>
      <c r="AL9" s="17">
        <v>2</v>
      </c>
      <c r="AM9" s="6"/>
      <c r="AN9" s="8" t="s">
        <v>14</v>
      </c>
      <c r="AO9" s="8">
        <v>882</v>
      </c>
      <c r="AP9" s="45">
        <v>362</v>
      </c>
      <c r="AQ9" s="8" t="s">
        <v>549</v>
      </c>
      <c r="AR9" s="255">
        <f>AO9-AP9-22</f>
        <v>498</v>
      </c>
      <c r="AS9" s="6" t="s">
        <v>264</v>
      </c>
      <c r="AT9" s="112"/>
    </row>
    <row r="10" spans="1:46" ht="31.5" customHeight="1">
      <c r="A10" s="47" t="s">
        <v>269</v>
      </c>
      <c r="B10" s="47" t="s">
        <v>53</v>
      </c>
      <c r="C10" s="58" t="s">
        <v>39</v>
      </c>
      <c r="D10" s="21" t="s">
        <v>3</v>
      </c>
      <c r="E10" s="21">
        <v>1000</v>
      </c>
      <c r="F10" s="22">
        <v>2</v>
      </c>
      <c r="G10" s="23" t="s">
        <v>243</v>
      </c>
      <c r="H10" s="32">
        <v>6</v>
      </c>
      <c r="I10" s="23" t="s">
        <v>237</v>
      </c>
      <c r="J10" s="24">
        <v>6</v>
      </c>
      <c r="K10" s="22" t="s">
        <v>237</v>
      </c>
      <c r="L10" s="22" t="s">
        <v>237</v>
      </c>
      <c r="M10" s="23" t="s">
        <v>237</v>
      </c>
      <c r="N10" s="22" t="s">
        <v>237</v>
      </c>
      <c r="O10" s="25" t="s">
        <v>244</v>
      </c>
      <c r="P10" s="31">
        <v>2</v>
      </c>
      <c r="Q10" s="31">
        <v>6</v>
      </c>
      <c r="R10" s="30" t="s">
        <v>237</v>
      </c>
      <c r="S10" s="30" t="s">
        <v>237</v>
      </c>
      <c r="T10" s="28">
        <v>9</v>
      </c>
      <c r="U10" s="28">
        <v>30</v>
      </c>
      <c r="V10" s="28">
        <v>2</v>
      </c>
      <c r="W10" s="28"/>
      <c r="X10" s="28"/>
      <c r="Y10" s="28"/>
      <c r="Z10" s="9"/>
      <c r="AA10" s="9"/>
      <c r="AB10" s="9"/>
      <c r="AC10" s="9"/>
      <c r="AD10" s="9"/>
      <c r="AE10" s="9"/>
      <c r="AF10" s="9"/>
      <c r="AG10" s="9"/>
      <c r="AH10" s="7">
        <v>0</v>
      </c>
      <c r="AI10" s="7">
        <v>0</v>
      </c>
      <c r="AJ10" s="17">
        <v>0</v>
      </c>
      <c r="AK10" s="17">
        <v>0</v>
      </c>
      <c r="AL10" s="17">
        <v>2</v>
      </c>
      <c r="AM10" s="6">
        <v>1996</v>
      </c>
      <c r="AN10" s="8" t="s">
        <v>54</v>
      </c>
      <c r="AO10" s="8">
        <v>1400</v>
      </c>
      <c r="AP10" s="45">
        <v>539</v>
      </c>
      <c r="AQ10" s="8">
        <f>287.85+90+30+25+30-30</f>
        <v>432.85</v>
      </c>
      <c r="AR10" s="255">
        <f>AO10-AP10-AQ10</f>
        <v>428.15</v>
      </c>
      <c r="AS10" s="6">
        <v>2012</v>
      </c>
      <c r="AT10" s="112"/>
    </row>
    <row r="11" spans="1:46" ht="24.75" customHeight="1">
      <c r="A11" s="47" t="s">
        <v>270</v>
      </c>
      <c r="B11" s="8" t="s">
        <v>67</v>
      </c>
      <c r="C11" s="6"/>
      <c r="D11" s="7" t="s">
        <v>2</v>
      </c>
      <c r="E11" s="7">
        <v>630</v>
      </c>
      <c r="F11" s="22">
        <v>2</v>
      </c>
      <c r="G11" s="23">
        <v>3</v>
      </c>
      <c r="H11" s="22">
        <v>3</v>
      </c>
      <c r="I11" s="23"/>
      <c r="J11" s="23">
        <v>2</v>
      </c>
      <c r="K11" s="22"/>
      <c r="L11" s="22"/>
      <c r="M11" s="23"/>
      <c r="N11" s="22"/>
      <c r="O11" s="33">
        <v>1</v>
      </c>
      <c r="P11" s="34">
        <v>1</v>
      </c>
      <c r="Q11" s="34">
        <v>2</v>
      </c>
      <c r="R11" s="34"/>
      <c r="S11" s="34"/>
      <c r="T11" s="35">
        <v>2</v>
      </c>
      <c r="U11" s="28">
        <v>20</v>
      </c>
      <c r="V11" s="28">
        <v>2</v>
      </c>
      <c r="W11" s="28"/>
      <c r="X11" s="28"/>
      <c r="Y11" s="28">
        <v>1</v>
      </c>
      <c r="Z11" s="9"/>
      <c r="AA11" s="9"/>
      <c r="AB11" s="9"/>
      <c r="AC11" s="9"/>
      <c r="AD11" s="9"/>
      <c r="AE11" s="9"/>
      <c r="AF11" s="9"/>
      <c r="AG11" s="9"/>
      <c r="AH11" s="7">
        <v>0</v>
      </c>
      <c r="AI11" s="7">
        <v>0</v>
      </c>
      <c r="AJ11" s="17">
        <v>0</v>
      </c>
      <c r="AK11" s="17">
        <v>0</v>
      </c>
      <c r="AL11" s="17">
        <v>2</v>
      </c>
      <c r="AM11" s="7">
        <v>1985</v>
      </c>
      <c r="AN11" s="8" t="s">
        <v>10</v>
      </c>
      <c r="AO11" s="13">
        <v>882</v>
      </c>
      <c r="AP11" s="72">
        <f>534.1+70</f>
        <v>604.1</v>
      </c>
      <c r="AQ11" s="8">
        <f>165.1-70</f>
        <v>95.1</v>
      </c>
      <c r="AR11" s="255">
        <f>AO11-AP11-AQ11</f>
        <v>182.79999999999998</v>
      </c>
      <c r="AS11" s="6">
        <v>2013</v>
      </c>
      <c r="AT11" s="112"/>
    </row>
    <row r="12" spans="1:45" ht="16.5" customHeight="1">
      <c r="A12" s="47" t="s">
        <v>271</v>
      </c>
      <c r="B12" s="298" t="s">
        <v>188</v>
      </c>
      <c r="C12" s="6" t="s">
        <v>265</v>
      </c>
      <c r="D12" s="6" t="s">
        <v>0</v>
      </c>
      <c r="E12" s="45">
        <v>160</v>
      </c>
      <c r="F12" s="8">
        <v>2</v>
      </c>
      <c r="G12" s="8">
        <v>2</v>
      </c>
      <c r="H12" s="8">
        <v>25</v>
      </c>
      <c r="I12" s="12">
        <v>23</v>
      </c>
      <c r="J12" s="12">
        <v>9</v>
      </c>
      <c r="K12" s="8">
        <v>23</v>
      </c>
      <c r="L12" s="8"/>
      <c r="M12" s="12"/>
      <c r="N12" s="8"/>
      <c r="O12" s="12">
        <v>3</v>
      </c>
      <c r="P12" s="8">
        <v>3</v>
      </c>
      <c r="Q12" s="8"/>
      <c r="R12" s="8">
        <v>6</v>
      </c>
      <c r="S12" s="8"/>
      <c r="T12" s="14">
        <v>19</v>
      </c>
      <c r="U12" s="9">
        <v>22</v>
      </c>
      <c r="V12" s="9">
        <v>2</v>
      </c>
      <c r="W12" s="9"/>
      <c r="X12" s="9">
        <v>22</v>
      </c>
      <c r="Y12" s="9">
        <v>1</v>
      </c>
      <c r="Z12" s="9"/>
      <c r="AA12" s="9"/>
      <c r="AB12" s="9"/>
      <c r="AC12" s="9"/>
      <c r="AD12" s="9"/>
      <c r="AE12" s="9"/>
      <c r="AF12" s="9"/>
      <c r="AG12" s="9"/>
      <c r="AH12" s="8">
        <v>2</v>
      </c>
      <c r="AI12" s="8">
        <v>0</v>
      </c>
      <c r="AJ12" s="8">
        <v>2</v>
      </c>
      <c r="AK12" s="8">
        <v>20</v>
      </c>
      <c r="AL12" s="8">
        <v>2</v>
      </c>
      <c r="AM12" s="7">
        <v>1976</v>
      </c>
      <c r="AN12" s="298" t="s">
        <v>18</v>
      </c>
      <c r="AO12" s="342">
        <v>8820</v>
      </c>
      <c r="AP12" s="359">
        <v>1018</v>
      </c>
      <c r="AQ12" s="356">
        <f>1+100</f>
        <v>101</v>
      </c>
      <c r="AR12" s="352">
        <f>AO12-AP12-AQ12</f>
        <v>7701</v>
      </c>
      <c r="AS12" s="355" t="s">
        <v>264</v>
      </c>
    </row>
    <row r="13" spans="1:45" ht="16.5" customHeight="1">
      <c r="A13" s="47" t="s">
        <v>272</v>
      </c>
      <c r="B13" s="298"/>
      <c r="C13" s="355" t="s">
        <v>266</v>
      </c>
      <c r="D13" s="7" t="s">
        <v>0</v>
      </c>
      <c r="E13" s="13">
        <v>40</v>
      </c>
      <c r="F13" s="8">
        <v>2</v>
      </c>
      <c r="G13" s="8">
        <v>2</v>
      </c>
      <c r="H13" s="8"/>
      <c r="I13" s="12"/>
      <c r="J13" s="12"/>
      <c r="K13" s="8"/>
      <c r="L13" s="8"/>
      <c r="M13" s="12"/>
      <c r="N13" s="8"/>
      <c r="O13" s="12"/>
      <c r="P13" s="8"/>
      <c r="Q13" s="8"/>
      <c r="R13" s="8"/>
      <c r="S13" s="8"/>
      <c r="T13" s="14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8"/>
      <c r="AI13" s="8"/>
      <c r="AJ13" s="8"/>
      <c r="AK13" s="8"/>
      <c r="AL13" s="8"/>
      <c r="AM13" s="7"/>
      <c r="AN13" s="298"/>
      <c r="AO13" s="343"/>
      <c r="AP13" s="360"/>
      <c r="AQ13" s="357"/>
      <c r="AR13" s="353"/>
      <c r="AS13" s="355"/>
    </row>
    <row r="14" spans="1:45" ht="17.25" customHeight="1">
      <c r="A14" s="47" t="s">
        <v>273</v>
      </c>
      <c r="B14" s="298"/>
      <c r="C14" s="355"/>
      <c r="D14" s="7" t="s">
        <v>0</v>
      </c>
      <c r="E14" s="13">
        <v>6300</v>
      </c>
      <c r="F14" s="8">
        <v>2</v>
      </c>
      <c r="G14" s="8"/>
      <c r="H14" s="8"/>
      <c r="I14" s="12"/>
      <c r="J14" s="12"/>
      <c r="K14" s="8"/>
      <c r="L14" s="8"/>
      <c r="M14" s="12"/>
      <c r="N14" s="8"/>
      <c r="O14" s="12"/>
      <c r="P14" s="8"/>
      <c r="Q14" s="8"/>
      <c r="R14" s="8"/>
      <c r="S14" s="8"/>
      <c r="T14" s="14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8"/>
      <c r="AI14" s="8"/>
      <c r="AJ14" s="8"/>
      <c r="AK14" s="8"/>
      <c r="AL14" s="8"/>
      <c r="AM14" s="7"/>
      <c r="AN14" s="298"/>
      <c r="AO14" s="344"/>
      <c r="AP14" s="361"/>
      <c r="AQ14" s="358"/>
      <c r="AR14" s="354"/>
      <c r="AS14" s="355"/>
    </row>
    <row r="15" spans="1:45" ht="18" customHeight="1">
      <c r="A15" s="47" t="s">
        <v>302</v>
      </c>
      <c r="B15" s="298" t="s">
        <v>187</v>
      </c>
      <c r="C15" s="355" t="s">
        <v>265</v>
      </c>
      <c r="D15" s="7" t="s">
        <v>0</v>
      </c>
      <c r="E15" s="7">
        <v>250</v>
      </c>
      <c r="F15" s="8">
        <v>1</v>
      </c>
      <c r="G15" s="8">
        <v>2</v>
      </c>
      <c r="H15" s="8"/>
      <c r="I15" s="12"/>
      <c r="J15" s="12"/>
      <c r="K15" s="8"/>
      <c r="L15" s="8"/>
      <c r="M15" s="12"/>
      <c r="N15" s="8"/>
      <c r="O15" s="12"/>
      <c r="P15" s="8"/>
      <c r="Q15" s="8"/>
      <c r="R15" s="8"/>
      <c r="S15" s="8"/>
      <c r="T15" s="14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8"/>
      <c r="AI15" s="8"/>
      <c r="AJ15" s="8"/>
      <c r="AK15" s="8"/>
      <c r="AL15" s="8"/>
      <c r="AM15" s="7"/>
      <c r="AN15" s="298"/>
      <c r="AO15" s="342">
        <v>175</v>
      </c>
      <c r="AP15" s="359">
        <f>2336+300+92</f>
        <v>2728</v>
      </c>
      <c r="AQ15" s="356">
        <f>633+300-300-92</f>
        <v>541</v>
      </c>
      <c r="AR15" s="352"/>
      <c r="AS15" s="355" t="s">
        <v>296</v>
      </c>
    </row>
    <row r="16" spans="1:45" ht="17.25" customHeight="1">
      <c r="A16" s="47" t="s">
        <v>303</v>
      </c>
      <c r="B16" s="355"/>
      <c r="C16" s="355"/>
      <c r="D16" s="7" t="s">
        <v>0</v>
      </c>
      <c r="E16" s="7">
        <v>40</v>
      </c>
      <c r="F16" s="8">
        <v>2</v>
      </c>
      <c r="G16" s="8">
        <v>1</v>
      </c>
      <c r="H16" s="16"/>
      <c r="I16" s="12"/>
      <c r="J16" s="12">
        <v>2</v>
      </c>
      <c r="K16" s="8"/>
      <c r="L16" s="8"/>
      <c r="M16" s="12"/>
      <c r="N16" s="8"/>
      <c r="O16" s="12"/>
      <c r="P16" s="8"/>
      <c r="Q16" s="8"/>
      <c r="R16" s="6"/>
      <c r="S16" s="8">
        <v>54</v>
      </c>
      <c r="T16" s="9">
        <v>19</v>
      </c>
      <c r="U16" s="9">
        <v>27</v>
      </c>
      <c r="V16" s="9">
        <v>2</v>
      </c>
      <c r="W16" s="9"/>
      <c r="X16" s="9">
        <v>30</v>
      </c>
      <c r="Y16" s="9">
        <v>1</v>
      </c>
      <c r="Z16" s="9"/>
      <c r="AA16" s="9"/>
      <c r="AB16" s="9"/>
      <c r="AC16" s="9"/>
      <c r="AD16" s="9"/>
      <c r="AE16" s="9"/>
      <c r="AF16" s="9"/>
      <c r="AG16" s="9"/>
      <c r="AH16" s="8">
        <v>2</v>
      </c>
      <c r="AI16" s="8">
        <v>0</v>
      </c>
      <c r="AJ16" s="8">
        <v>2</v>
      </c>
      <c r="AK16" s="8">
        <v>7</v>
      </c>
      <c r="AL16" s="8">
        <v>2</v>
      </c>
      <c r="AM16" s="7">
        <v>1978</v>
      </c>
      <c r="AN16" s="298"/>
      <c r="AO16" s="343"/>
      <c r="AP16" s="360"/>
      <c r="AQ16" s="357"/>
      <c r="AR16" s="353"/>
      <c r="AS16" s="355"/>
    </row>
    <row r="17" spans="1:45" ht="18" customHeight="1">
      <c r="A17" s="47" t="s">
        <v>304</v>
      </c>
      <c r="B17" s="298"/>
      <c r="C17" s="355"/>
      <c r="D17" s="7" t="s">
        <v>0</v>
      </c>
      <c r="E17" s="7">
        <v>160</v>
      </c>
      <c r="F17" s="8">
        <v>2</v>
      </c>
      <c r="G17" s="8">
        <v>2</v>
      </c>
      <c r="H17" s="8"/>
      <c r="I17" s="12" t="s">
        <v>224</v>
      </c>
      <c r="J17" s="12">
        <v>2</v>
      </c>
      <c r="K17" s="8">
        <v>2</v>
      </c>
      <c r="L17" s="8"/>
      <c r="M17" s="12"/>
      <c r="N17" s="8"/>
      <c r="O17" s="12" t="s">
        <v>225</v>
      </c>
      <c r="P17" s="8">
        <v>4</v>
      </c>
      <c r="Q17" s="8"/>
      <c r="R17" s="8">
        <v>6</v>
      </c>
      <c r="S17" s="8"/>
      <c r="T17" s="14"/>
      <c r="U17" s="9">
        <v>2</v>
      </c>
      <c r="V17" s="9">
        <v>2</v>
      </c>
      <c r="W17" s="9">
        <v>2</v>
      </c>
      <c r="X17" s="9">
        <v>6</v>
      </c>
      <c r="Y17" s="9"/>
      <c r="Z17" s="9"/>
      <c r="AA17" s="9"/>
      <c r="AB17" s="9"/>
      <c r="AC17" s="9"/>
      <c r="AD17" s="9"/>
      <c r="AE17" s="9"/>
      <c r="AF17" s="9"/>
      <c r="AG17" s="9"/>
      <c r="AH17" s="8">
        <v>2</v>
      </c>
      <c r="AI17" s="8">
        <v>0</v>
      </c>
      <c r="AJ17" s="8">
        <v>0</v>
      </c>
      <c r="AK17" s="8">
        <v>4</v>
      </c>
      <c r="AL17" s="8">
        <v>0</v>
      </c>
      <c r="AM17" s="7"/>
      <c r="AN17" s="298"/>
      <c r="AO17" s="344"/>
      <c r="AP17" s="361"/>
      <c r="AQ17" s="358"/>
      <c r="AR17" s="354"/>
      <c r="AS17" s="355"/>
    </row>
    <row r="18" spans="1:49" s="43" customFormat="1" ht="36.75" customHeight="1">
      <c r="A18" s="47" t="s">
        <v>305</v>
      </c>
      <c r="B18" s="45" t="s">
        <v>553</v>
      </c>
      <c r="C18" s="15" t="s">
        <v>221</v>
      </c>
      <c r="D18" s="11"/>
      <c r="E18" s="45">
        <v>630</v>
      </c>
      <c r="F18" s="45">
        <v>1</v>
      </c>
      <c r="G18" s="45">
        <v>18</v>
      </c>
      <c r="H18" s="45">
        <v>18</v>
      </c>
      <c r="I18" s="45">
        <v>13</v>
      </c>
      <c r="J18" s="45">
        <v>11</v>
      </c>
      <c r="K18" s="45">
        <v>13</v>
      </c>
      <c r="L18" s="45"/>
      <c r="M18" s="45"/>
      <c r="N18" s="45"/>
      <c r="O18" s="45">
        <v>21</v>
      </c>
      <c r="P18" s="45">
        <v>21</v>
      </c>
      <c r="Q18" s="45"/>
      <c r="R18" s="45"/>
      <c r="S18" s="45"/>
      <c r="T18" s="14">
        <v>4</v>
      </c>
      <c r="U18" s="46">
        <v>17</v>
      </c>
      <c r="V18" s="46">
        <v>2</v>
      </c>
      <c r="W18" s="46"/>
      <c r="X18" s="46">
        <v>51</v>
      </c>
      <c r="Y18" s="46">
        <v>1</v>
      </c>
      <c r="Z18" s="46"/>
      <c r="AA18" s="46"/>
      <c r="AB18" s="46"/>
      <c r="AC18" s="46"/>
      <c r="AD18" s="46"/>
      <c r="AE18" s="46"/>
      <c r="AF18" s="46"/>
      <c r="AG18" s="46"/>
      <c r="AH18" s="45">
        <v>0</v>
      </c>
      <c r="AI18" s="45">
        <v>0</v>
      </c>
      <c r="AJ18" s="45">
        <v>2</v>
      </c>
      <c r="AK18" s="45">
        <v>13</v>
      </c>
      <c r="AL18" s="45">
        <v>0</v>
      </c>
      <c r="AM18" s="15"/>
      <c r="AN18" s="45" t="s">
        <v>10</v>
      </c>
      <c r="AO18" s="7">
        <v>441</v>
      </c>
      <c r="AP18" s="73">
        <f>15</f>
        <v>15</v>
      </c>
      <c r="AQ18" s="14">
        <f>15+15+15+15+15+15+15+15+15+15+15+15+15+15+15+15+15+15+15+15+25-15</f>
        <v>310</v>
      </c>
      <c r="AR18" s="255">
        <f>AO18-AP18-AQ18</f>
        <v>116</v>
      </c>
      <c r="AS18" s="15">
        <v>2013</v>
      </c>
      <c r="AT18" s="116"/>
      <c r="AU18" s="44"/>
      <c r="AV18" s="44"/>
      <c r="AW18" s="44"/>
    </row>
    <row r="19" spans="1:49" s="43" customFormat="1" ht="28.5" customHeight="1">
      <c r="A19" s="47" t="s">
        <v>552</v>
      </c>
      <c r="B19" s="45" t="s">
        <v>29</v>
      </c>
      <c r="C19" s="15" t="s">
        <v>221</v>
      </c>
      <c r="D19" s="11"/>
      <c r="E19" s="45">
        <v>25</v>
      </c>
      <c r="F19" s="45">
        <v>2</v>
      </c>
      <c r="G19" s="45">
        <v>18</v>
      </c>
      <c r="H19" s="45">
        <v>18</v>
      </c>
      <c r="I19" s="45">
        <v>13</v>
      </c>
      <c r="J19" s="45">
        <v>11</v>
      </c>
      <c r="K19" s="45">
        <v>13</v>
      </c>
      <c r="L19" s="45"/>
      <c r="M19" s="45"/>
      <c r="N19" s="45"/>
      <c r="O19" s="45">
        <v>21</v>
      </c>
      <c r="P19" s="45">
        <v>21</v>
      </c>
      <c r="Q19" s="45"/>
      <c r="R19" s="45"/>
      <c r="S19" s="45"/>
      <c r="T19" s="14">
        <v>4</v>
      </c>
      <c r="U19" s="46">
        <v>17</v>
      </c>
      <c r="V19" s="46">
        <v>2</v>
      </c>
      <c r="W19" s="46"/>
      <c r="X19" s="46">
        <v>51</v>
      </c>
      <c r="Y19" s="46">
        <v>1</v>
      </c>
      <c r="Z19" s="46"/>
      <c r="AA19" s="46"/>
      <c r="AB19" s="46"/>
      <c r="AC19" s="46"/>
      <c r="AD19" s="46"/>
      <c r="AE19" s="46"/>
      <c r="AF19" s="46"/>
      <c r="AG19" s="46"/>
      <c r="AH19" s="45">
        <v>0</v>
      </c>
      <c r="AI19" s="45">
        <v>0</v>
      </c>
      <c r="AJ19" s="45">
        <v>2</v>
      </c>
      <c r="AK19" s="45">
        <v>13</v>
      </c>
      <c r="AL19" s="45">
        <v>0</v>
      </c>
      <c r="AM19" s="15">
        <v>1988</v>
      </c>
      <c r="AN19" s="45" t="s">
        <v>30</v>
      </c>
      <c r="AO19" s="7" t="s">
        <v>568</v>
      </c>
      <c r="AP19" s="73">
        <v>1990</v>
      </c>
      <c r="AQ19" s="14"/>
      <c r="AR19" s="257"/>
      <c r="AS19" s="15">
        <v>2013</v>
      </c>
      <c r="AT19" s="116"/>
      <c r="AU19" s="44"/>
      <c r="AV19" s="44"/>
      <c r="AW19" s="44"/>
    </row>
    <row r="20" spans="1:46" s="169" customFormat="1" ht="42.75" customHeight="1">
      <c r="A20" s="288" t="s">
        <v>299</v>
      </c>
      <c r="B20" s="289"/>
      <c r="C20" s="166"/>
      <c r="D20" s="191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82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8"/>
      <c r="AI20" s="168"/>
      <c r="AJ20" s="168"/>
      <c r="AK20" s="168"/>
      <c r="AL20" s="168"/>
      <c r="AM20" s="192">
        <v>1979</v>
      </c>
      <c r="AN20" s="193" t="s">
        <v>300</v>
      </c>
      <c r="AO20" s="194">
        <v>19900</v>
      </c>
      <c r="AP20" s="165">
        <f>14693+170</f>
        <v>14863</v>
      </c>
      <c r="AQ20" s="165">
        <f>8535+170+350-170</f>
        <v>8885</v>
      </c>
      <c r="AR20" s="258">
        <f>AO20-AP20-AQ20</f>
        <v>-3848</v>
      </c>
      <c r="AS20" s="166"/>
      <c r="AT20" s="116"/>
    </row>
    <row r="21" spans="1:46" s="169" customFormat="1" ht="15" customHeight="1">
      <c r="A21" s="290">
        <v>2</v>
      </c>
      <c r="B21" s="290" t="s">
        <v>11</v>
      </c>
      <c r="C21" s="166" t="s">
        <v>223</v>
      </c>
      <c r="D21" s="191" t="s">
        <v>184</v>
      </c>
      <c r="E21" s="178">
        <v>4000</v>
      </c>
      <c r="F21" s="168">
        <v>2</v>
      </c>
      <c r="G21" s="166"/>
      <c r="H21" s="168"/>
      <c r="I21" s="168" t="s">
        <v>224</v>
      </c>
      <c r="J21" s="168">
        <v>2</v>
      </c>
      <c r="K21" s="168">
        <v>2</v>
      </c>
      <c r="L21" s="168"/>
      <c r="M21" s="168"/>
      <c r="N21" s="168"/>
      <c r="O21" s="168" t="s">
        <v>225</v>
      </c>
      <c r="P21" s="168">
        <v>4</v>
      </c>
      <c r="Q21" s="168"/>
      <c r="R21" s="168">
        <v>6</v>
      </c>
      <c r="S21" s="168"/>
      <c r="T21" s="182"/>
      <c r="U21" s="165">
        <v>2</v>
      </c>
      <c r="V21" s="165">
        <v>2</v>
      </c>
      <c r="W21" s="165">
        <v>2</v>
      </c>
      <c r="X21" s="165">
        <v>6</v>
      </c>
      <c r="Y21" s="165"/>
      <c r="Z21" s="165"/>
      <c r="AA21" s="165"/>
      <c r="AB21" s="165"/>
      <c r="AC21" s="165"/>
      <c r="AD21" s="165"/>
      <c r="AE21" s="165"/>
      <c r="AF21" s="165"/>
      <c r="AG21" s="165"/>
      <c r="AH21" s="168">
        <v>2</v>
      </c>
      <c r="AI21" s="168">
        <v>0</v>
      </c>
      <c r="AJ21" s="168">
        <v>0</v>
      </c>
      <c r="AK21" s="168">
        <v>4</v>
      </c>
      <c r="AL21" s="168">
        <v>0</v>
      </c>
      <c r="AM21" s="363">
        <v>1982</v>
      </c>
      <c r="AN21" s="285" t="s">
        <v>12</v>
      </c>
      <c r="AO21" s="301">
        <f>SUM(AO26:AO33)</f>
        <v>5089</v>
      </c>
      <c r="AP21" s="301">
        <f>SUM(AP26:AP33)</f>
        <v>1808</v>
      </c>
      <c r="AQ21" s="301">
        <f>AQ26+AQ27+AQ28+AQ30+AQ31+AQ32+AQ33+250+175</f>
        <v>1517</v>
      </c>
      <c r="AR21" s="366">
        <f>AO21-AP21-AQ21</f>
        <v>1764</v>
      </c>
      <c r="AS21" s="297" t="s">
        <v>288</v>
      </c>
      <c r="AT21" s="116"/>
    </row>
    <row r="22" spans="1:46" s="169" customFormat="1" ht="21" customHeight="1" hidden="1">
      <c r="A22" s="290"/>
      <c r="B22" s="290"/>
      <c r="C22" s="166" t="s">
        <v>265</v>
      </c>
      <c r="D22" s="191" t="s">
        <v>0</v>
      </c>
      <c r="E22" s="178">
        <v>40</v>
      </c>
      <c r="F22" s="168">
        <v>2</v>
      </c>
      <c r="G22" s="168" t="s">
        <v>226</v>
      </c>
      <c r="H22" s="166">
        <v>20</v>
      </c>
      <c r="I22" s="166" t="s">
        <v>227</v>
      </c>
      <c r="J22" s="168">
        <v>13</v>
      </c>
      <c r="K22" s="166">
        <v>15</v>
      </c>
      <c r="L22" s="166"/>
      <c r="M22" s="166"/>
      <c r="N22" s="166"/>
      <c r="O22" s="166"/>
      <c r="P22" s="166">
        <v>3</v>
      </c>
      <c r="Q22" s="166"/>
      <c r="R22" s="166"/>
      <c r="S22" s="166"/>
      <c r="T22" s="182">
        <v>15</v>
      </c>
      <c r="U22" s="165">
        <v>18</v>
      </c>
      <c r="V22" s="165">
        <v>2</v>
      </c>
      <c r="W22" s="165">
        <v>2</v>
      </c>
      <c r="X22" s="165">
        <v>17</v>
      </c>
      <c r="Y22" s="165">
        <v>1</v>
      </c>
      <c r="Z22" s="165"/>
      <c r="AA22" s="165"/>
      <c r="AB22" s="165"/>
      <c r="AC22" s="165"/>
      <c r="AD22" s="165"/>
      <c r="AE22" s="165"/>
      <c r="AF22" s="165"/>
      <c r="AG22" s="165"/>
      <c r="AH22" s="166">
        <v>0</v>
      </c>
      <c r="AI22" s="166">
        <v>18</v>
      </c>
      <c r="AJ22" s="166">
        <v>2</v>
      </c>
      <c r="AK22" s="166">
        <v>16</v>
      </c>
      <c r="AL22" s="166">
        <v>0</v>
      </c>
      <c r="AM22" s="364"/>
      <c r="AN22" s="286"/>
      <c r="AO22" s="362"/>
      <c r="AP22" s="362"/>
      <c r="AQ22" s="362"/>
      <c r="AR22" s="367"/>
      <c r="AS22" s="297"/>
      <c r="AT22" s="116"/>
    </row>
    <row r="23" spans="1:46" s="169" customFormat="1" ht="21" customHeight="1" hidden="1">
      <c r="A23" s="290"/>
      <c r="B23" s="290"/>
      <c r="C23" s="166" t="s">
        <v>265</v>
      </c>
      <c r="D23" s="191"/>
      <c r="E23" s="178">
        <v>63</v>
      </c>
      <c r="F23" s="168">
        <v>1</v>
      </c>
      <c r="G23" s="168"/>
      <c r="H23" s="166"/>
      <c r="I23" s="166"/>
      <c r="J23" s="168"/>
      <c r="K23" s="166"/>
      <c r="L23" s="166"/>
      <c r="M23" s="166"/>
      <c r="N23" s="166"/>
      <c r="O23" s="166"/>
      <c r="P23" s="166"/>
      <c r="Q23" s="166"/>
      <c r="R23" s="166"/>
      <c r="S23" s="166"/>
      <c r="T23" s="182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6"/>
      <c r="AI23" s="166"/>
      <c r="AJ23" s="166"/>
      <c r="AK23" s="166"/>
      <c r="AL23" s="166"/>
      <c r="AM23" s="364"/>
      <c r="AN23" s="286"/>
      <c r="AO23" s="362"/>
      <c r="AP23" s="362"/>
      <c r="AQ23" s="362"/>
      <c r="AR23" s="367"/>
      <c r="AS23" s="297"/>
      <c r="AT23" s="116"/>
    </row>
    <row r="24" spans="1:46" s="169" customFormat="1" ht="15" customHeight="1">
      <c r="A24" s="290"/>
      <c r="B24" s="290"/>
      <c r="C24" s="166" t="s">
        <v>265</v>
      </c>
      <c r="D24" s="191" t="s">
        <v>0</v>
      </c>
      <c r="E24" s="178">
        <v>40</v>
      </c>
      <c r="F24" s="168">
        <v>2</v>
      </c>
      <c r="G24" s="168"/>
      <c r="H24" s="166"/>
      <c r="I24" s="166"/>
      <c r="J24" s="168"/>
      <c r="K24" s="166"/>
      <c r="L24" s="166"/>
      <c r="M24" s="166"/>
      <c r="N24" s="166"/>
      <c r="O24" s="166"/>
      <c r="P24" s="166"/>
      <c r="Q24" s="166"/>
      <c r="R24" s="166"/>
      <c r="S24" s="166"/>
      <c r="T24" s="182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6"/>
      <c r="AI24" s="166"/>
      <c r="AJ24" s="166"/>
      <c r="AK24" s="166"/>
      <c r="AL24" s="166"/>
      <c r="AM24" s="364"/>
      <c r="AN24" s="286"/>
      <c r="AO24" s="362"/>
      <c r="AP24" s="362"/>
      <c r="AQ24" s="362"/>
      <c r="AR24" s="367"/>
      <c r="AS24" s="297"/>
      <c r="AT24" s="116"/>
    </row>
    <row r="25" spans="1:46" s="169" customFormat="1" ht="13.5" customHeight="1">
      <c r="A25" s="290"/>
      <c r="B25" s="290"/>
      <c r="C25" s="166" t="s">
        <v>265</v>
      </c>
      <c r="D25" s="191"/>
      <c r="E25" s="178">
        <v>63</v>
      </c>
      <c r="F25" s="168">
        <v>1</v>
      </c>
      <c r="G25" s="168"/>
      <c r="H25" s="166"/>
      <c r="I25" s="166"/>
      <c r="J25" s="168"/>
      <c r="K25" s="166"/>
      <c r="L25" s="166"/>
      <c r="M25" s="166"/>
      <c r="N25" s="166"/>
      <c r="O25" s="166"/>
      <c r="P25" s="166"/>
      <c r="Q25" s="166"/>
      <c r="R25" s="166"/>
      <c r="S25" s="166"/>
      <c r="T25" s="182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  <c r="AI25" s="166"/>
      <c r="AJ25" s="166"/>
      <c r="AK25" s="166"/>
      <c r="AL25" s="166"/>
      <c r="AM25" s="365"/>
      <c r="AN25" s="287"/>
      <c r="AO25" s="302"/>
      <c r="AP25" s="302"/>
      <c r="AQ25" s="302"/>
      <c r="AR25" s="368"/>
      <c r="AS25" s="297"/>
      <c r="AT25" s="116"/>
    </row>
    <row r="26" spans="1:46" ht="24.75" customHeight="1">
      <c r="A26" s="47" t="s">
        <v>275</v>
      </c>
      <c r="B26" s="8" t="s">
        <v>44</v>
      </c>
      <c r="C26" s="6"/>
      <c r="D26" s="7" t="s">
        <v>2</v>
      </c>
      <c r="E26" s="7">
        <v>630</v>
      </c>
      <c r="F26" s="17">
        <v>2</v>
      </c>
      <c r="G26" s="19">
        <v>10</v>
      </c>
      <c r="H26" s="17">
        <v>10</v>
      </c>
      <c r="I26" s="19"/>
      <c r="J26" s="19">
        <v>10</v>
      </c>
      <c r="K26" s="17"/>
      <c r="L26" s="17"/>
      <c r="M26" s="19"/>
      <c r="N26" s="17"/>
      <c r="O26" s="20">
        <v>4</v>
      </c>
      <c r="P26" s="7">
        <v>4</v>
      </c>
      <c r="Q26" s="7">
        <v>8</v>
      </c>
      <c r="R26" s="7"/>
      <c r="S26" s="7"/>
      <c r="T26" s="14"/>
      <c r="U26" s="9">
        <v>34</v>
      </c>
      <c r="V26" s="9">
        <v>2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7">
        <v>0</v>
      </c>
      <c r="AI26" s="7">
        <v>0</v>
      </c>
      <c r="AJ26" s="17">
        <v>0</v>
      </c>
      <c r="AK26" s="17">
        <v>0</v>
      </c>
      <c r="AL26" s="17">
        <v>2</v>
      </c>
      <c r="AM26" s="7">
        <v>1987</v>
      </c>
      <c r="AN26" s="8" t="s">
        <v>45</v>
      </c>
      <c r="AO26" s="7">
        <v>882</v>
      </c>
      <c r="AP26" s="71">
        <v>198</v>
      </c>
      <c r="AQ26" s="8">
        <f>40-40</f>
        <v>0</v>
      </c>
      <c r="AR26" s="255">
        <f aca="true" t="shared" si="0" ref="AR26:AR33">AO26-AP26-AQ26</f>
        <v>684</v>
      </c>
      <c r="AS26" s="6">
        <v>2013</v>
      </c>
      <c r="AT26" s="112"/>
    </row>
    <row r="27" spans="1:46" ht="24.75" customHeight="1">
      <c r="A27" s="47" t="s">
        <v>276</v>
      </c>
      <c r="B27" s="8" t="s">
        <v>55</v>
      </c>
      <c r="C27" s="6"/>
      <c r="D27" s="7" t="s">
        <v>3</v>
      </c>
      <c r="E27" s="7">
        <v>630</v>
      </c>
      <c r="F27" s="22">
        <v>2</v>
      </c>
      <c r="G27" s="23">
        <v>2</v>
      </c>
      <c r="H27" s="22">
        <v>2</v>
      </c>
      <c r="I27" s="23"/>
      <c r="J27" s="23">
        <v>2</v>
      </c>
      <c r="K27" s="22"/>
      <c r="L27" s="22"/>
      <c r="M27" s="23"/>
      <c r="N27" s="22"/>
      <c r="O27" s="33"/>
      <c r="P27" s="34"/>
      <c r="Q27" s="34">
        <v>2</v>
      </c>
      <c r="R27" s="34"/>
      <c r="S27" s="34"/>
      <c r="T27" s="35"/>
      <c r="U27" s="28">
        <v>21</v>
      </c>
      <c r="V27" s="28">
        <v>2</v>
      </c>
      <c r="W27" s="28"/>
      <c r="X27" s="28"/>
      <c r="Y27" s="28"/>
      <c r="Z27" s="9"/>
      <c r="AA27" s="9"/>
      <c r="AB27" s="9"/>
      <c r="AC27" s="9"/>
      <c r="AD27" s="9"/>
      <c r="AE27" s="9"/>
      <c r="AF27" s="9"/>
      <c r="AG27" s="9"/>
      <c r="AH27" s="7">
        <v>0</v>
      </c>
      <c r="AI27" s="7">
        <v>0</v>
      </c>
      <c r="AJ27" s="17">
        <v>0</v>
      </c>
      <c r="AK27" s="17">
        <v>0</v>
      </c>
      <c r="AL27" s="17">
        <v>2</v>
      </c>
      <c r="AM27" s="7">
        <v>1982</v>
      </c>
      <c r="AN27" s="298" t="s">
        <v>12</v>
      </c>
      <c r="AO27" s="7">
        <v>882</v>
      </c>
      <c r="AP27" s="73">
        <v>230</v>
      </c>
      <c r="AQ27" s="39">
        <f>95+183+30-95+40+95</f>
        <v>348</v>
      </c>
      <c r="AR27" s="255">
        <f t="shared" si="0"/>
        <v>304</v>
      </c>
      <c r="AS27" s="6"/>
      <c r="AT27" s="112"/>
    </row>
    <row r="28" spans="1:46" ht="24.75" customHeight="1">
      <c r="A28" s="47" t="s">
        <v>277</v>
      </c>
      <c r="B28" s="8" t="s">
        <v>56</v>
      </c>
      <c r="C28" s="6"/>
      <c r="D28" s="7" t="s">
        <v>4</v>
      </c>
      <c r="E28" s="7">
        <v>630</v>
      </c>
      <c r="F28" s="22">
        <v>2</v>
      </c>
      <c r="G28" s="23">
        <v>2</v>
      </c>
      <c r="H28" s="22">
        <v>2</v>
      </c>
      <c r="I28" s="23"/>
      <c r="J28" s="23">
        <v>2</v>
      </c>
      <c r="K28" s="22"/>
      <c r="L28" s="22"/>
      <c r="M28" s="23"/>
      <c r="N28" s="22"/>
      <c r="O28" s="33"/>
      <c r="P28" s="34"/>
      <c r="Q28" s="34">
        <v>2</v>
      </c>
      <c r="R28" s="34"/>
      <c r="S28" s="34"/>
      <c r="T28" s="35">
        <v>2</v>
      </c>
      <c r="U28" s="28">
        <v>12</v>
      </c>
      <c r="V28" s="28">
        <v>2</v>
      </c>
      <c r="W28" s="28"/>
      <c r="X28" s="28"/>
      <c r="Y28" s="28"/>
      <c r="Z28" s="9"/>
      <c r="AA28" s="9"/>
      <c r="AB28" s="9"/>
      <c r="AC28" s="9"/>
      <c r="AD28" s="9"/>
      <c r="AE28" s="9"/>
      <c r="AF28" s="9"/>
      <c r="AG28" s="9"/>
      <c r="AH28" s="7">
        <v>0</v>
      </c>
      <c r="AI28" s="7">
        <v>0</v>
      </c>
      <c r="AJ28" s="17">
        <v>0</v>
      </c>
      <c r="AK28" s="17">
        <v>0</v>
      </c>
      <c r="AL28" s="17">
        <v>2</v>
      </c>
      <c r="AM28" s="7">
        <v>1982</v>
      </c>
      <c r="AN28" s="298"/>
      <c r="AO28" s="7">
        <v>882</v>
      </c>
      <c r="AP28" s="73">
        <v>197</v>
      </c>
      <c r="AQ28" s="39">
        <f>250-70+280</f>
        <v>460</v>
      </c>
      <c r="AR28" s="255">
        <f t="shared" si="0"/>
        <v>225</v>
      </c>
      <c r="AS28" s="6" t="s">
        <v>288</v>
      </c>
      <c r="AT28" s="112"/>
    </row>
    <row r="29" spans="1:46" ht="24.75" customHeight="1">
      <c r="A29" s="47" t="s">
        <v>278</v>
      </c>
      <c r="B29" s="8" t="s">
        <v>57</v>
      </c>
      <c r="C29" s="6"/>
      <c r="D29" s="7" t="s">
        <v>3</v>
      </c>
      <c r="E29" s="7">
        <v>400</v>
      </c>
      <c r="F29" s="22">
        <v>2</v>
      </c>
      <c r="G29" s="23">
        <v>2</v>
      </c>
      <c r="H29" s="22">
        <v>2</v>
      </c>
      <c r="I29" s="23"/>
      <c r="J29" s="23">
        <v>2</v>
      </c>
      <c r="K29" s="22"/>
      <c r="L29" s="22"/>
      <c r="M29" s="23"/>
      <c r="N29" s="22"/>
      <c r="O29" s="33"/>
      <c r="P29" s="34"/>
      <c r="Q29" s="34">
        <v>2</v>
      </c>
      <c r="R29" s="34"/>
      <c r="S29" s="34"/>
      <c r="T29" s="35"/>
      <c r="U29" s="28">
        <v>20</v>
      </c>
      <c r="V29" s="28">
        <v>2</v>
      </c>
      <c r="W29" s="28"/>
      <c r="X29" s="28"/>
      <c r="Y29" s="28"/>
      <c r="Z29" s="9"/>
      <c r="AA29" s="9"/>
      <c r="AB29" s="9"/>
      <c r="AC29" s="9"/>
      <c r="AD29" s="9"/>
      <c r="AE29" s="9"/>
      <c r="AF29" s="9"/>
      <c r="AG29" s="9"/>
      <c r="AH29" s="7">
        <v>0</v>
      </c>
      <c r="AI29" s="7">
        <v>0</v>
      </c>
      <c r="AJ29" s="17">
        <v>0</v>
      </c>
      <c r="AK29" s="17">
        <v>0</v>
      </c>
      <c r="AL29" s="17">
        <v>2</v>
      </c>
      <c r="AM29" s="7">
        <v>1980</v>
      </c>
      <c r="AN29" s="298"/>
      <c r="AO29" s="7">
        <v>560</v>
      </c>
      <c r="AP29" s="73">
        <v>164</v>
      </c>
      <c r="AQ29" s="39" t="s">
        <v>542</v>
      </c>
      <c r="AR29" s="255">
        <f>AO29-AP29-175</f>
        <v>221</v>
      </c>
      <c r="AS29" s="6">
        <v>2014</v>
      </c>
      <c r="AT29" s="112"/>
    </row>
    <row r="30" spans="1:46" ht="24.75" customHeight="1">
      <c r="A30" s="47" t="s">
        <v>279</v>
      </c>
      <c r="B30" s="41" t="s">
        <v>60</v>
      </c>
      <c r="C30" s="42" t="s">
        <v>61</v>
      </c>
      <c r="D30" s="21" t="s">
        <v>0</v>
      </c>
      <c r="E30" s="21" t="s">
        <v>262</v>
      </c>
      <c r="F30" s="22">
        <v>1</v>
      </c>
      <c r="G30" s="23" t="s">
        <v>237</v>
      </c>
      <c r="H30" s="22" t="s">
        <v>237</v>
      </c>
      <c r="I30" s="23" t="s">
        <v>237</v>
      </c>
      <c r="J30" s="24">
        <v>1</v>
      </c>
      <c r="K30" s="22" t="s">
        <v>237</v>
      </c>
      <c r="L30" s="22" t="s">
        <v>237</v>
      </c>
      <c r="M30" s="23" t="s">
        <v>237</v>
      </c>
      <c r="N30" s="22" t="s">
        <v>237</v>
      </c>
      <c r="O30" s="25" t="s">
        <v>237</v>
      </c>
      <c r="P30" s="22">
        <v>1</v>
      </c>
      <c r="Q30" s="26" t="s">
        <v>237</v>
      </c>
      <c r="R30" s="27">
        <v>3</v>
      </c>
      <c r="S30" s="26" t="s">
        <v>237</v>
      </c>
      <c r="T30" s="28">
        <v>4</v>
      </c>
      <c r="U30" s="28">
        <v>6</v>
      </c>
      <c r="V30" s="28">
        <v>1</v>
      </c>
      <c r="W30" s="28"/>
      <c r="X30" s="28"/>
      <c r="Y30" s="28"/>
      <c r="Z30" s="9"/>
      <c r="AA30" s="9"/>
      <c r="AB30" s="9"/>
      <c r="AC30" s="9"/>
      <c r="AD30" s="9"/>
      <c r="AE30" s="9"/>
      <c r="AF30" s="9"/>
      <c r="AG30" s="9"/>
      <c r="AH30" s="8">
        <v>1</v>
      </c>
      <c r="AI30" s="8">
        <v>0</v>
      </c>
      <c r="AJ30" s="17">
        <v>0</v>
      </c>
      <c r="AK30" s="17">
        <v>0</v>
      </c>
      <c r="AL30" s="8">
        <v>1</v>
      </c>
      <c r="AM30" s="6">
        <v>2004</v>
      </c>
      <c r="AN30" s="356" t="s">
        <v>12</v>
      </c>
      <c r="AO30" s="7">
        <v>280</v>
      </c>
      <c r="AP30" s="45">
        <v>131</v>
      </c>
      <c r="AQ30" s="39">
        <v>0</v>
      </c>
      <c r="AR30" s="255">
        <f t="shared" si="0"/>
        <v>149</v>
      </c>
      <c r="AS30" s="6"/>
      <c r="AT30" s="112"/>
    </row>
    <row r="31" spans="1:45" ht="33" customHeight="1">
      <c r="A31" s="47" t="s">
        <v>569</v>
      </c>
      <c r="B31" s="41" t="s">
        <v>186</v>
      </c>
      <c r="C31" s="58" t="s">
        <v>41</v>
      </c>
      <c r="D31" s="21" t="s">
        <v>0</v>
      </c>
      <c r="E31" s="7">
        <v>400</v>
      </c>
      <c r="F31" s="22">
        <v>1</v>
      </c>
      <c r="G31" s="23" t="s">
        <v>237</v>
      </c>
      <c r="H31" s="22" t="s">
        <v>237</v>
      </c>
      <c r="I31" s="23" t="s">
        <v>237</v>
      </c>
      <c r="J31" s="24">
        <v>1</v>
      </c>
      <c r="K31" s="22" t="s">
        <v>237</v>
      </c>
      <c r="L31" s="22" t="s">
        <v>237</v>
      </c>
      <c r="M31" s="23" t="s">
        <v>237</v>
      </c>
      <c r="N31" s="22" t="s">
        <v>237</v>
      </c>
      <c r="O31" s="25" t="s">
        <v>241</v>
      </c>
      <c r="P31" s="31">
        <v>1</v>
      </c>
      <c r="Q31" s="26" t="s">
        <v>237</v>
      </c>
      <c r="R31" s="31">
        <v>3</v>
      </c>
      <c r="S31" s="26" t="s">
        <v>237</v>
      </c>
      <c r="T31" s="28"/>
      <c r="U31" s="28"/>
      <c r="V31" s="28"/>
      <c r="W31" s="28"/>
      <c r="X31" s="28"/>
      <c r="Y31" s="28"/>
      <c r="Z31" s="9"/>
      <c r="AA31" s="9"/>
      <c r="AB31" s="9"/>
      <c r="AC31" s="9"/>
      <c r="AD31" s="9"/>
      <c r="AE31" s="9"/>
      <c r="AF31" s="9"/>
      <c r="AG31" s="9"/>
      <c r="AH31" s="8">
        <v>1</v>
      </c>
      <c r="AI31" s="8">
        <v>0</v>
      </c>
      <c r="AJ31" s="17">
        <v>0</v>
      </c>
      <c r="AK31" s="17">
        <v>0</v>
      </c>
      <c r="AL31" s="8">
        <v>1</v>
      </c>
      <c r="AM31" s="6"/>
      <c r="AN31" s="358"/>
      <c r="AO31" s="7">
        <v>280</v>
      </c>
      <c r="AP31" s="45">
        <v>60</v>
      </c>
      <c r="AQ31" s="39">
        <v>170</v>
      </c>
      <c r="AR31" s="255">
        <f t="shared" si="0"/>
        <v>50</v>
      </c>
      <c r="AS31" s="6" t="s">
        <v>350</v>
      </c>
    </row>
    <row r="32" spans="1:46" ht="24.75" customHeight="1">
      <c r="A32" s="47" t="s">
        <v>280</v>
      </c>
      <c r="B32" s="8" t="s">
        <v>68</v>
      </c>
      <c r="C32" s="6"/>
      <c r="D32" s="7" t="s">
        <v>3</v>
      </c>
      <c r="E32" s="7">
        <v>630</v>
      </c>
      <c r="F32" s="22">
        <v>2</v>
      </c>
      <c r="G32" s="23">
        <v>8</v>
      </c>
      <c r="H32" s="22">
        <v>8</v>
      </c>
      <c r="I32" s="23"/>
      <c r="J32" s="23">
        <v>8</v>
      </c>
      <c r="K32" s="22"/>
      <c r="L32" s="22"/>
      <c r="M32" s="23"/>
      <c r="N32" s="22"/>
      <c r="O32" s="33">
        <v>2</v>
      </c>
      <c r="P32" s="34">
        <v>2</v>
      </c>
      <c r="Q32" s="34">
        <v>8</v>
      </c>
      <c r="R32" s="34"/>
      <c r="S32" s="34"/>
      <c r="T32" s="35">
        <v>2</v>
      </c>
      <c r="U32" s="28">
        <v>30</v>
      </c>
      <c r="V32" s="28">
        <v>2</v>
      </c>
      <c r="W32" s="28"/>
      <c r="X32" s="28"/>
      <c r="Y32" s="28">
        <v>1</v>
      </c>
      <c r="Z32" s="9"/>
      <c r="AA32" s="9"/>
      <c r="AB32" s="9"/>
      <c r="AC32" s="9"/>
      <c r="AD32" s="9"/>
      <c r="AE32" s="9"/>
      <c r="AF32" s="9"/>
      <c r="AG32" s="9"/>
      <c r="AH32" s="7">
        <v>0</v>
      </c>
      <c r="AI32" s="7">
        <v>0</v>
      </c>
      <c r="AJ32" s="17">
        <v>0</v>
      </c>
      <c r="AK32" s="17">
        <v>0</v>
      </c>
      <c r="AL32" s="17">
        <v>3</v>
      </c>
      <c r="AM32" s="7">
        <v>1982</v>
      </c>
      <c r="AN32" s="8" t="s">
        <v>45</v>
      </c>
      <c r="AO32" s="13">
        <v>882</v>
      </c>
      <c r="AP32" s="73">
        <f>395+20</f>
        <v>415</v>
      </c>
      <c r="AQ32" s="8">
        <f>20-20</f>
        <v>0</v>
      </c>
      <c r="AR32" s="255">
        <f>AO32-AP32-AQ32</f>
        <v>467</v>
      </c>
      <c r="AS32" s="6" t="s">
        <v>264</v>
      </c>
      <c r="AT32" s="112"/>
    </row>
    <row r="33" spans="1:46" ht="24.75" customHeight="1">
      <c r="A33" s="47" t="s">
        <v>306</v>
      </c>
      <c r="B33" s="41" t="s">
        <v>72</v>
      </c>
      <c r="C33" s="42" t="s">
        <v>73</v>
      </c>
      <c r="D33" s="21" t="s">
        <v>0</v>
      </c>
      <c r="E33" s="21">
        <v>630</v>
      </c>
      <c r="F33" s="22">
        <v>1</v>
      </c>
      <c r="G33" s="23" t="s">
        <v>237</v>
      </c>
      <c r="H33" s="22" t="s">
        <v>237</v>
      </c>
      <c r="I33" s="23" t="s">
        <v>237</v>
      </c>
      <c r="J33" s="24">
        <v>1</v>
      </c>
      <c r="K33" s="22" t="s">
        <v>237</v>
      </c>
      <c r="L33" s="22" t="s">
        <v>237</v>
      </c>
      <c r="M33" s="23" t="s">
        <v>237</v>
      </c>
      <c r="N33" s="22" t="s">
        <v>237</v>
      </c>
      <c r="O33" s="25" t="s">
        <v>237</v>
      </c>
      <c r="P33" s="26" t="s">
        <v>237</v>
      </c>
      <c r="Q33" s="27">
        <v>1</v>
      </c>
      <c r="R33" s="26" t="s">
        <v>237</v>
      </c>
      <c r="S33" s="26" t="s">
        <v>237</v>
      </c>
      <c r="T33" s="28">
        <v>10</v>
      </c>
      <c r="U33" s="28">
        <v>7</v>
      </c>
      <c r="V33" s="28">
        <v>1</v>
      </c>
      <c r="W33" s="28"/>
      <c r="X33" s="28"/>
      <c r="Y33" s="28"/>
      <c r="Z33" s="9"/>
      <c r="AA33" s="9"/>
      <c r="AB33" s="9"/>
      <c r="AC33" s="9"/>
      <c r="AD33" s="9"/>
      <c r="AE33" s="9"/>
      <c r="AF33" s="9"/>
      <c r="AG33" s="9"/>
      <c r="AH33" s="7">
        <v>1</v>
      </c>
      <c r="AI33" s="7">
        <v>0</v>
      </c>
      <c r="AJ33" s="17">
        <v>0</v>
      </c>
      <c r="AK33" s="17">
        <v>0</v>
      </c>
      <c r="AL33" s="17">
        <v>1</v>
      </c>
      <c r="AM33" s="6">
        <v>1990</v>
      </c>
      <c r="AN33" s="8" t="s">
        <v>12</v>
      </c>
      <c r="AO33" s="13">
        <v>441</v>
      </c>
      <c r="AP33" s="45">
        <f>293+60+60</f>
        <v>413</v>
      </c>
      <c r="AQ33" s="8">
        <f>60-60+60-60+100+14</f>
        <v>114</v>
      </c>
      <c r="AR33" s="255">
        <f t="shared" si="0"/>
        <v>-86</v>
      </c>
      <c r="AS33" s="6">
        <v>2012</v>
      </c>
      <c r="AT33" s="112"/>
    </row>
    <row r="34" spans="1:46" s="169" customFormat="1" ht="30" customHeight="1">
      <c r="A34" s="293">
        <v>3</v>
      </c>
      <c r="B34" s="290" t="s">
        <v>13</v>
      </c>
      <c r="C34" s="370" t="s">
        <v>223</v>
      </c>
      <c r="D34" s="191"/>
      <c r="E34" s="301">
        <v>16000</v>
      </c>
      <c r="F34" s="285">
        <v>2</v>
      </c>
      <c r="G34" s="168"/>
      <c r="H34" s="168"/>
      <c r="I34" s="168"/>
      <c r="J34" s="168">
        <v>2</v>
      </c>
      <c r="K34" s="168"/>
      <c r="L34" s="168"/>
      <c r="M34" s="168" t="s">
        <v>228</v>
      </c>
      <c r="N34" s="168">
        <v>2</v>
      </c>
      <c r="O34" s="168" t="s">
        <v>229</v>
      </c>
      <c r="P34" s="168">
        <v>6</v>
      </c>
      <c r="Q34" s="168"/>
      <c r="R34" s="168"/>
      <c r="S34" s="168">
        <v>12</v>
      </c>
      <c r="T34" s="182">
        <v>2</v>
      </c>
      <c r="U34" s="165">
        <v>2</v>
      </c>
      <c r="V34" s="165">
        <v>2</v>
      </c>
      <c r="W34" s="165">
        <v>2</v>
      </c>
      <c r="X34" s="165">
        <v>6</v>
      </c>
      <c r="Y34" s="165"/>
      <c r="Z34" s="165"/>
      <c r="AA34" s="165"/>
      <c r="AB34" s="165"/>
      <c r="AC34" s="165"/>
      <c r="AD34" s="165"/>
      <c r="AE34" s="165"/>
      <c r="AF34" s="165"/>
      <c r="AG34" s="165"/>
      <c r="AH34" s="168">
        <v>0</v>
      </c>
      <c r="AI34" s="168">
        <v>6</v>
      </c>
      <c r="AJ34" s="168">
        <v>2</v>
      </c>
      <c r="AK34" s="168">
        <v>4</v>
      </c>
      <c r="AL34" s="168">
        <v>0</v>
      </c>
      <c r="AM34" s="363">
        <v>1983</v>
      </c>
      <c r="AN34" s="373" t="s">
        <v>14</v>
      </c>
      <c r="AO34" s="376">
        <f>AO43+AO55+AO64</f>
        <v>24416</v>
      </c>
      <c r="AP34" s="376">
        <f>AP43+AP55+AP64</f>
        <v>10808.27</v>
      </c>
      <c r="AQ34" s="376">
        <f>AQ43+AQ55+AQ64</f>
        <v>5509.26</v>
      </c>
      <c r="AR34" s="366">
        <f>AO34-AP34-AQ34</f>
        <v>8098.469999999999</v>
      </c>
      <c r="AS34" s="297"/>
      <c r="AT34" s="116"/>
    </row>
    <row r="35" spans="1:46" s="169" customFormat="1" ht="24.75" customHeight="1" hidden="1">
      <c r="A35" s="369"/>
      <c r="B35" s="290"/>
      <c r="C35" s="371"/>
      <c r="D35" s="191"/>
      <c r="E35" s="362"/>
      <c r="F35" s="286"/>
      <c r="G35" s="168" t="s">
        <v>232</v>
      </c>
      <c r="H35" s="168">
        <v>16</v>
      </c>
      <c r="I35" s="168"/>
      <c r="J35" s="168">
        <v>6</v>
      </c>
      <c r="K35" s="168"/>
      <c r="L35" s="168"/>
      <c r="M35" s="168"/>
      <c r="N35" s="168">
        <v>11</v>
      </c>
      <c r="O35" s="168"/>
      <c r="P35" s="168">
        <v>4</v>
      </c>
      <c r="Q35" s="168"/>
      <c r="R35" s="168"/>
      <c r="S35" s="168">
        <v>51</v>
      </c>
      <c r="T35" s="182">
        <v>12</v>
      </c>
      <c r="U35" s="165">
        <v>15</v>
      </c>
      <c r="V35" s="165">
        <v>2</v>
      </c>
      <c r="W35" s="165">
        <v>2</v>
      </c>
      <c r="X35" s="165">
        <v>15</v>
      </c>
      <c r="Y35" s="165">
        <v>1</v>
      </c>
      <c r="Z35" s="165"/>
      <c r="AA35" s="165"/>
      <c r="AB35" s="165"/>
      <c r="AC35" s="165"/>
      <c r="AD35" s="165"/>
      <c r="AE35" s="165"/>
      <c r="AF35" s="165"/>
      <c r="AG35" s="165"/>
      <c r="AH35" s="168">
        <v>0</v>
      </c>
      <c r="AI35" s="168">
        <v>2</v>
      </c>
      <c r="AJ35" s="168">
        <v>2</v>
      </c>
      <c r="AK35" s="166">
        <v>13</v>
      </c>
      <c r="AL35" s="168">
        <v>2</v>
      </c>
      <c r="AM35" s="364"/>
      <c r="AN35" s="374"/>
      <c r="AO35" s="377"/>
      <c r="AP35" s="377"/>
      <c r="AQ35" s="377"/>
      <c r="AR35" s="367"/>
      <c r="AS35" s="297"/>
      <c r="AT35" s="116"/>
    </row>
    <row r="36" spans="1:46" s="169" customFormat="1" ht="3.75" customHeight="1">
      <c r="A36" s="294"/>
      <c r="B36" s="290"/>
      <c r="C36" s="372"/>
      <c r="D36" s="191"/>
      <c r="E36" s="302"/>
      <c r="F36" s="287"/>
      <c r="G36" s="168"/>
      <c r="H36" s="168"/>
      <c r="I36" s="168"/>
      <c r="J36" s="168">
        <v>2</v>
      </c>
      <c r="K36" s="168"/>
      <c r="L36" s="168"/>
      <c r="M36" s="168" t="s">
        <v>228</v>
      </c>
      <c r="N36" s="168">
        <v>2</v>
      </c>
      <c r="O36" s="168" t="s">
        <v>229</v>
      </c>
      <c r="P36" s="168">
        <v>6</v>
      </c>
      <c r="Q36" s="168"/>
      <c r="R36" s="168"/>
      <c r="S36" s="168">
        <v>12</v>
      </c>
      <c r="T36" s="182">
        <v>2</v>
      </c>
      <c r="U36" s="165">
        <v>2</v>
      </c>
      <c r="V36" s="165">
        <v>2</v>
      </c>
      <c r="W36" s="165">
        <v>2</v>
      </c>
      <c r="X36" s="165">
        <v>6</v>
      </c>
      <c r="Y36" s="165"/>
      <c r="Z36" s="165"/>
      <c r="AA36" s="165"/>
      <c r="AB36" s="165"/>
      <c r="AC36" s="165"/>
      <c r="AD36" s="165"/>
      <c r="AE36" s="165"/>
      <c r="AF36" s="165"/>
      <c r="AG36" s="165"/>
      <c r="AH36" s="168">
        <v>0</v>
      </c>
      <c r="AI36" s="168">
        <v>6</v>
      </c>
      <c r="AJ36" s="168">
        <v>2</v>
      </c>
      <c r="AK36" s="168">
        <v>4</v>
      </c>
      <c r="AL36" s="168">
        <v>0</v>
      </c>
      <c r="AM36" s="365"/>
      <c r="AN36" s="375"/>
      <c r="AO36" s="378"/>
      <c r="AP36" s="378"/>
      <c r="AQ36" s="378"/>
      <c r="AR36" s="368"/>
      <c r="AS36" s="297"/>
      <c r="AT36" s="116"/>
    </row>
    <row r="37" spans="1:45" ht="24.75" customHeight="1" hidden="1">
      <c r="A37" s="379"/>
      <c r="B37" s="308"/>
      <c r="C37" s="381"/>
      <c r="D37" s="11" t="s">
        <v>231</v>
      </c>
      <c r="E37" s="383"/>
      <c r="F37" s="308"/>
      <c r="G37" s="45" t="s">
        <v>232</v>
      </c>
      <c r="H37" s="45">
        <v>16</v>
      </c>
      <c r="I37" s="45"/>
      <c r="J37" s="45">
        <v>6</v>
      </c>
      <c r="K37" s="45"/>
      <c r="L37" s="45"/>
      <c r="M37" s="45"/>
      <c r="N37" s="45">
        <v>11</v>
      </c>
      <c r="O37" s="45"/>
      <c r="P37" s="45">
        <v>4</v>
      </c>
      <c r="Q37" s="45"/>
      <c r="R37" s="45"/>
      <c r="S37" s="45">
        <v>51</v>
      </c>
      <c r="T37" s="14">
        <v>12</v>
      </c>
      <c r="U37" s="46">
        <v>15</v>
      </c>
      <c r="V37" s="46">
        <v>2</v>
      </c>
      <c r="W37" s="46">
        <v>2</v>
      </c>
      <c r="X37" s="46">
        <v>15</v>
      </c>
      <c r="Y37" s="46">
        <v>1</v>
      </c>
      <c r="Z37" s="46"/>
      <c r="AA37" s="46"/>
      <c r="AB37" s="46"/>
      <c r="AC37" s="46"/>
      <c r="AD37" s="46"/>
      <c r="AE37" s="46"/>
      <c r="AF37" s="46"/>
      <c r="AG37" s="46"/>
      <c r="AH37" s="45">
        <v>0</v>
      </c>
      <c r="AI37" s="45">
        <v>2</v>
      </c>
      <c r="AJ37" s="45">
        <v>2</v>
      </c>
      <c r="AK37" s="15">
        <v>13</v>
      </c>
      <c r="AL37" s="45">
        <v>2</v>
      </c>
      <c r="AM37" s="343"/>
      <c r="AN37" s="390"/>
      <c r="AO37" s="343"/>
      <c r="AP37" s="360"/>
      <c r="AQ37" s="385"/>
      <c r="AR37" s="387"/>
      <c r="AS37" s="389"/>
    </row>
    <row r="38" spans="1:45" ht="27.75" customHeight="1" hidden="1">
      <c r="A38" s="380"/>
      <c r="B38" s="309"/>
      <c r="C38" s="382"/>
      <c r="D38" s="11"/>
      <c r="E38" s="384"/>
      <c r="F38" s="309"/>
      <c r="G38" s="45"/>
      <c r="H38" s="45"/>
      <c r="I38" s="45"/>
      <c r="J38" s="45">
        <v>2</v>
      </c>
      <c r="K38" s="45"/>
      <c r="L38" s="45"/>
      <c r="M38" s="45" t="s">
        <v>228</v>
      </c>
      <c r="N38" s="45">
        <v>2</v>
      </c>
      <c r="O38" s="45" t="s">
        <v>229</v>
      </c>
      <c r="P38" s="45">
        <v>6</v>
      </c>
      <c r="Q38" s="45"/>
      <c r="R38" s="45"/>
      <c r="S38" s="45">
        <v>12</v>
      </c>
      <c r="T38" s="14">
        <v>2</v>
      </c>
      <c r="U38" s="46">
        <v>2</v>
      </c>
      <c r="V38" s="46">
        <v>2</v>
      </c>
      <c r="W38" s="46">
        <v>2</v>
      </c>
      <c r="X38" s="46">
        <v>6</v>
      </c>
      <c r="Y38" s="46"/>
      <c r="Z38" s="46"/>
      <c r="AA38" s="46"/>
      <c r="AB38" s="46"/>
      <c r="AC38" s="46"/>
      <c r="AD38" s="46"/>
      <c r="AE38" s="46"/>
      <c r="AF38" s="46"/>
      <c r="AG38" s="46"/>
      <c r="AH38" s="45">
        <v>0</v>
      </c>
      <c r="AI38" s="45">
        <v>6</v>
      </c>
      <c r="AJ38" s="45">
        <v>2</v>
      </c>
      <c r="AK38" s="45">
        <v>4</v>
      </c>
      <c r="AL38" s="45">
        <v>0</v>
      </c>
      <c r="AM38" s="344"/>
      <c r="AN38" s="391"/>
      <c r="AO38" s="344"/>
      <c r="AP38" s="361"/>
      <c r="AQ38" s="386"/>
      <c r="AR38" s="388"/>
      <c r="AS38" s="389"/>
    </row>
    <row r="39" spans="1:46" ht="38.25" customHeight="1">
      <c r="A39" s="41" t="s">
        <v>346</v>
      </c>
      <c r="B39" s="8" t="s">
        <v>46</v>
      </c>
      <c r="C39" s="6" t="s">
        <v>230</v>
      </c>
      <c r="D39" s="7" t="s">
        <v>3</v>
      </c>
      <c r="E39" s="7">
        <v>1000</v>
      </c>
      <c r="F39" s="17">
        <v>2</v>
      </c>
      <c r="G39" s="19">
        <v>10</v>
      </c>
      <c r="H39" s="17">
        <v>10</v>
      </c>
      <c r="I39" s="19"/>
      <c r="J39" s="19">
        <v>10</v>
      </c>
      <c r="K39" s="17"/>
      <c r="L39" s="17"/>
      <c r="M39" s="19"/>
      <c r="N39" s="17"/>
      <c r="O39" s="20">
        <v>2</v>
      </c>
      <c r="P39" s="7">
        <v>2</v>
      </c>
      <c r="Q39" s="7">
        <v>10</v>
      </c>
      <c r="R39" s="7"/>
      <c r="S39" s="7"/>
      <c r="T39" s="14">
        <v>2</v>
      </c>
      <c r="U39" s="9">
        <v>35</v>
      </c>
      <c r="V39" s="9">
        <v>2</v>
      </c>
      <c r="W39" s="9"/>
      <c r="X39" s="9"/>
      <c r="Y39" s="9">
        <v>1</v>
      </c>
      <c r="Z39" s="9"/>
      <c r="AA39" s="9"/>
      <c r="AB39" s="9"/>
      <c r="AC39" s="9"/>
      <c r="AD39" s="9"/>
      <c r="AE39" s="9"/>
      <c r="AF39" s="9"/>
      <c r="AG39" s="9"/>
      <c r="AH39" s="7">
        <v>0</v>
      </c>
      <c r="AI39" s="7">
        <v>0</v>
      </c>
      <c r="AJ39" s="17">
        <v>2</v>
      </c>
      <c r="AK39" s="17">
        <v>0</v>
      </c>
      <c r="AL39" s="17">
        <v>2</v>
      </c>
      <c r="AM39" s="7">
        <v>1987</v>
      </c>
      <c r="AN39" s="8" t="s">
        <v>566</v>
      </c>
      <c r="AO39" s="13">
        <v>1400</v>
      </c>
      <c r="AP39" s="71">
        <v>394</v>
      </c>
      <c r="AQ39" s="8">
        <f>8+1+15+15+50-50</f>
        <v>39</v>
      </c>
      <c r="AR39" s="255">
        <f aca="true" t="shared" si="1" ref="AR39:AR44">AO39-AP39-AQ39</f>
        <v>967</v>
      </c>
      <c r="AS39" s="6"/>
      <c r="AT39" s="112"/>
    </row>
    <row r="40" spans="1:46" ht="33.75" customHeight="1">
      <c r="A40" s="41" t="s">
        <v>347</v>
      </c>
      <c r="B40" s="8" t="s">
        <v>565</v>
      </c>
      <c r="C40" s="6" t="s">
        <v>292</v>
      </c>
      <c r="D40" s="7"/>
      <c r="E40" s="7">
        <v>630</v>
      </c>
      <c r="F40" s="17">
        <v>2</v>
      </c>
      <c r="G40" s="19"/>
      <c r="H40" s="17"/>
      <c r="I40" s="19"/>
      <c r="J40" s="19"/>
      <c r="K40" s="17"/>
      <c r="L40" s="17"/>
      <c r="M40" s="19"/>
      <c r="N40" s="17"/>
      <c r="O40" s="20"/>
      <c r="P40" s="7"/>
      <c r="Q40" s="7"/>
      <c r="R40" s="7"/>
      <c r="S40" s="7"/>
      <c r="T40" s="14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7"/>
      <c r="AI40" s="7"/>
      <c r="AJ40" s="17"/>
      <c r="AK40" s="17"/>
      <c r="AL40" s="17"/>
      <c r="AM40" s="7"/>
      <c r="AN40" s="8" t="s">
        <v>567</v>
      </c>
      <c r="AO40" s="13">
        <v>480</v>
      </c>
      <c r="AP40" s="71">
        <v>480</v>
      </c>
      <c r="AQ40" s="8">
        <v>0</v>
      </c>
      <c r="AR40" s="255">
        <f t="shared" si="1"/>
        <v>0</v>
      </c>
      <c r="AS40" s="59" t="s">
        <v>570</v>
      </c>
      <c r="AT40" s="112"/>
    </row>
    <row r="41" spans="1:46" ht="35.25" customHeight="1">
      <c r="A41" s="41" t="s">
        <v>421</v>
      </c>
      <c r="B41" s="45" t="s">
        <v>355</v>
      </c>
      <c r="C41" s="6" t="s">
        <v>230</v>
      </c>
      <c r="D41" s="7" t="s">
        <v>0</v>
      </c>
      <c r="E41" s="7">
        <v>1250</v>
      </c>
      <c r="F41" s="17">
        <v>2</v>
      </c>
      <c r="G41" s="19">
        <v>6</v>
      </c>
      <c r="H41" s="17">
        <v>6</v>
      </c>
      <c r="I41" s="19"/>
      <c r="J41" s="19">
        <v>6</v>
      </c>
      <c r="K41" s="17"/>
      <c r="L41" s="17"/>
      <c r="M41" s="19"/>
      <c r="N41" s="17"/>
      <c r="O41" s="20">
        <v>2</v>
      </c>
      <c r="P41" s="7">
        <v>2</v>
      </c>
      <c r="Q41" s="7">
        <v>6</v>
      </c>
      <c r="R41" s="7"/>
      <c r="S41" s="7"/>
      <c r="T41" s="14">
        <v>2</v>
      </c>
      <c r="U41" s="9">
        <v>31</v>
      </c>
      <c r="V41" s="9">
        <v>2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7">
        <v>0</v>
      </c>
      <c r="AI41" s="7">
        <v>0</v>
      </c>
      <c r="AJ41" s="17">
        <v>0</v>
      </c>
      <c r="AK41" s="17">
        <v>0</v>
      </c>
      <c r="AL41" s="17">
        <v>2</v>
      </c>
      <c r="AM41" s="7">
        <v>2011</v>
      </c>
      <c r="AN41" s="8" t="s">
        <v>45</v>
      </c>
      <c r="AO41" s="8">
        <v>1750</v>
      </c>
      <c r="AP41" s="45">
        <f>526+340.1</f>
        <v>866.1</v>
      </c>
      <c r="AQ41" s="8">
        <f>350+55-55+1+702.2+200-200-362.1-340.1</f>
        <v>351</v>
      </c>
      <c r="AR41" s="255">
        <f t="shared" si="1"/>
        <v>532.9</v>
      </c>
      <c r="AS41" s="87"/>
      <c r="AT41" s="112"/>
    </row>
    <row r="42" spans="1:46" ht="56.25" customHeight="1">
      <c r="A42" s="41" t="s">
        <v>602</v>
      </c>
      <c r="B42" s="45" t="s">
        <v>538</v>
      </c>
      <c r="C42" s="6" t="s">
        <v>292</v>
      </c>
      <c r="D42" s="7"/>
      <c r="E42" s="7">
        <v>1250</v>
      </c>
      <c r="F42" s="17">
        <v>2</v>
      </c>
      <c r="G42" s="19"/>
      <c r="H42" s="17"/>
      <c r="I42" s="19"/>
      <c r="J42" s="19"/>
      <c r="K42" s="17"/>
      <c r="L42" s="17"/>
      <c r="M42" s="19"/>
      <c r="N42" s="17"/>
      <c r="O42" s="20"/>
      <c r="P42" s="7"/>
      <c r="Q42" s="7"/>
      <c r="R42" s="7"/>
      <c r="S42" s="7"/>
      <c r="T42" s="1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7"/>
      <c r="AI42" s="7"/>
      <c r="AJ42" s="17"/>
      <c r="AK42" s="17"/>
      <c r="AL42" s="17"/>
      <c r="AM42" s="7">
        <v>2013</v>
      </c>
      <c r="AN42" s="8" t="s">
        <v>45</v>
      </c>
      <c r="AO42" s="7">
        <v>1750</v>
      </c>
      <c r="AP42" s="72">
        <f>263+120</f>
        <v>383</v>
      </c>
      <c r="AQ42" s="8">
        <f>560-120</f>
        <v>440</v>
      </c>
      <c r="AR42" s="255">
        <f t="shared" si="1"/>
        <v>927</v>
      </c>
      <c r="AS42" s="6"/>
      <c r="AT42" s="112"/>
    </row>
    <row r="43" spans="1:46" s="169" customFormat="1" ht="27" customHeight="1">
      <c r="A43" s="195" t="s">
        <v>307</v>
      </c>
      <c r="B43" s="196" t="s">
        <v>19</v>
      </c>
      <c r="C43" s="197" t="s">
        <v>230</v>
      </c>
      <c r="D43" s="191"/>
      <c r="E43" s="198"/>
      <c r="F43" s="198"/>
      <c r="G43" s="198">
        <v>22</v>
      </c>
      <c r="H43" s="198">
        <v>22</v>
      </c>
      <c r="I43" s="198"/>
      <c r="J43" s="198">
        <v>16</v>
      </c>
      <c r="K43" s="198"/>
      <c r="L43" s="198"/>
      <c r="M43" s="198">
        <v>17</v>
      </c>
      <c r="N43" s="198">
        <v>17</v>
      </c>
      <c r="O43" s="198">
        <v>22</v>
      </c>
      <c r="P43" s="198">
        <v>22</v>
      </c>
      <c r="Q43" s="198"/>
      <c r="R43" s="198"/>
      <c r="S43" s="198">
        <v>60</v>
      </c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98">
        <v>0</v>
      </c>
      <c r="AI43" s="198">
        <v>18</v>
      </c>
      <c r="AJ43" s="198">
        <v>2</v>
      </c>
      <c r="AK43" s="198">
        <v>17</v>
      </c>
      <c r="AL43" s="198">
        <v>2</v>
      </c>
      <c r="AM43" s="199">
        <v>1985</v>
      </c>
      <c r="AN43" s="198" t="s">
        <v>22</v>
      </c>
      <c r="AO43" s="200">
        <f>SUM(AO44:AO54)</f>
        <v>12124</v>
      </c>
      <c r="AP43" s="201">
        <f>SUM(AP44:AP54)</f>
        <v>5616.27</v>
      </c>
      <c r="AQ43" s="201">
        <f>SUM(AQ44:AQ54)</f>
        <v>792</v>
      </c>
      <c r="AR43" s="259">
        <f t="shared" si="1"/>
        <v>5715.73</v>
      </c>
      <c r="AS43" s="282"/>
      <c r="AT43" s="116"/>
    </row>
    <row r="44" spans="1:46" ht="24.75" customHeight="1">
      <c r="A44" s="41" t="s">
        <v>314</v>
      </c>
      <c r="B44" s="8" t="s">
        <v>74</v>
      </c>
      <c r="C44" s="6" t="s">
        <v>230</v>
      </c>
      <c r="D44" s="7" t="s">
        <v>2</v>
      </c>
      <c r="E44" s="7">
        <v>1000</v>
      </c>
      <c r="F44" s="22">
        <v>2</v>
      </c>
      <c r="G44" s="23">
        <v>6</v>
      </c>
      <c r="H44" s="22">
        <v>6</v>
      </c>
      <c r="I44" s="23"/>
      <c r="J44" s="23">
        <v>6</v>
      </c>
      <c r="K44" s="22"/>
      <c r="L44" s="22"/>
      <c r="M44" s="23"/>
      <c r="N44" s="22"/>
      <c r="O44" s="33">
        <v>4</v>
      </c>
      <c r="P44" s="34">
        <v>4</v>
      </c>
      <c r="Q44" s="34">
        <v>4</v>
      </c>
      <c r="R44" s="34"/>
      <c r="S44" s="34"/>
      <c r="T44" s="35">
        <v>1</v>
      </c>
      <c r="U44" s="28">
        <v>34</v>
      </c>
      <c r="V44" s="28">
        <v>2</v>
      </c>
      <c r="W44" s="28"/>
      <c r="X44" s="28"/>
      <c r="Y44" s="28">
        <v>1</v>
      </c>
      <c r="Z44" s="9"/>
      <c r="AA44" s="9"/>
      <c r="AB44" s="9"/>
      <c r="AC44" s="9"/>
      <c r="AD44" s="9"/>
      <c r="AE44" s="9"/>
      <c r="AF44" s="9"/>
      <c r="AG44" s="9"/>
      <c r="AH44" s="7">
        <v>0</v>
      </c>
      <c r="AI44" s="7">
        <v>0</v>
      </c>
      <c r="AJ44" s="17">
        <v>0</v>
      </c>
      <c r="AK44" s="17">
        <v>0</v>
      </c>
      <c r="AL44" s="17">
        <v>2</v>
      </c>
      <c r="AM44" s="7">
        <v>1982</v>
      </c>
      <c r="AN44" s="298" t="s">
        <v>20</v>
      </c>
      <c r="AO44" s="7">
        <v>1400</v>
      </c>
      <c r="AP44" s="73">
        <v>657</v>
      </c>
      <c r="AQ44" s="39">
        <f>0+20-20</f>
        <v>0</v>
      </c>
      <c r="AR44" s="255">
        <f t="shared" si="1"/>
        <v>743</v>
      </c>
      <c r="AS44" s="6" t="s">
        <v>264</v>
      </c>
      <c r="AT44" s="112"/>
    </row>
    <row r="45" spans="1:46" ht="24.75" customHeight="1">
      <c r="A45" s="41" t="s">
        <v>315</v>
      </c>
      <c r="B45" s="8" t="s">
        <v>75</v>
      </c>
      <c r="C45" s="6" t="s">
        <v>230</v>
      </c>
      <c r="D45" s="7" t="s">
        <v>2</v>
      </c>
      <c r="E45" s="7">
        <v>1000</v>
      </c>
      <c r="F45" s="22">
        <v>2</v>
      </c>
      <c r="G45" s="23">
        <v>2</v>
      </c>
      <c r="H45" s="22">
        <v>2</v>
      </c>
      <c r="I45" s="23"/>
      <c r="J45" s="23">
        <v>2</v>
      </c>
      <c r="K45" s="22"/>
      <c r="L45" s="22"/>
      <c r="M45" s="23"/>
      <c r="N45" s="22"/>
      <c r="O45" s="33"/>
      <c r="P45" s="34"/>
      <c r="Q45" s="34">
        <v>2</v>
      </c>
      <c r="R45" s="34"/>
      <c r="S45" s="34"/>
      <c r="T45" s="35">
        <v>1</v>
      </c>
      <c r="U45" s="28">
        <v>38</v>
      </c>
      <c r="V45" s="28">
        <v>2</v>
      </c>
      <c r="W45" s="28"/>
      <c r="X45" s="28"/>
      <c r="Y45" s="28">
        <v>1</v>
      </c>
      <c r="Z45" s="9"/>
      <c r="AA45" s="9"/>
      <c r="AB45" s="9"/>
      <c r="AC45" s="9"/>
      <c r="AD45" s="9"/>
      <c r="AE45" s="9"/>
      <c r="AF45" s="9"/>
      <c r="AG45" s="9"/>
      <c r="AH45" s="7">
        <v>0</v>
      </c>
      <c r="AI45" s="7">
        <v>0</v>
      </c>
      <c r="AJ45" s="17">
        <v>0</v>
      </c>
      <c r="AK45" s="17">
        <v>0</v>
      </c>
      <c r="AL45" s="17">
        <v>2</v>
      </c>
      <c r="AM45" s="7">
        <v>1982</v>
      </c>
      <c r="AN45" s="298"/>
      <c r="AO45" s="7">
        <v>1400</v>
      </c>
      <c r="AP45" s="73">
        <f>526+18</f>
        <v>544</v>
      </c>
      <c r="AQ45" s="45">
        <f>150+90+13+15+18+30-18</f>
        <v>298</v>
      </c>
      <c r="AR45" s="255">
        <f aca="true" t="shared" si="2" ref="AR45:AR54">AO45-AP45-AQ45</f>
        <v>558</v>
      </c>
      <c r="AS45" s="6"/>
      <c r="AT45" s="112"/>
    </row>
    <row r="46" spans="1:46" ht="24.75" customHeight="1">
      <c r="A46" s="41" t="s">
        <v>316</v>
      </c>
      <c r="B46" s="8" t="s">
        <v>76</v>
      </c>
      <c r="C46" s="6" t="s">
        <v>230</v>
      </c>
      <c r="D46" s="7" t="s">
        <v>3</v>
      </c>
      <c r="E46" s="7">
        <v>1600</v>
      </c>
      <c r="F46" s="22">
        <v>2</v>
      </c>
      <c r="G46" s="23">
        <v>6</v>
      </c>
      <c r="H46" s="22">
        <v>6</v>
      </c>
      <c r="I46" s="23"/>
      <c r="J46" s="23">
        <v>6</v>
      </c>
      <c r="K46" s="22"/>
      <c r="L46" s="22"/>
      <c r="M46" s="23"/>
      <c r="N46" s="22"/>
      <c r="O46" s="33">
        <v>2</v>
      </c>
      <c r="P46" s="34">
        <v>2</v>
      </c>
      <c r="Q46" s="34">
        <v>6</v>
      </c>
      <c r="R46" s="34"/>
      <c r="S46" s="34"/>
      <c r="T46" s="35">
        <v>1</v>
      </c>
      <c r="U46" s="28">
        <v>44</v>
      </c>
      <c r="V46" s="28">
        <v>2</v>
      </c>
      <c r="W46" s="28"/>
      <c r="X46" s="28"/>
      <c r="Y46" s="28">
        <v>1</v>
      </c>
      <c r="Z46" s="9"/>
      <c r="AA46" s="9"/>
      <c r="AB46" s="9"/>
      <c r="AC46" s="9"/>
      <c r="AD46" s="9"/>
      <c r="AE46" s="9"/>
      <c r="AF46" s="9"/>
      <c r="AG46" s="9"/>
      <c r="AH46" s="7">
        <v>0</v>
      </c>
      <c r="AI46" s="7">
        <v>0</v>
      </c>
      <c r="AJ46" s="17">
        <v>0</v>
      </c>
      <c r="AK46" s="17">
        <v>0</v>
      </c>
      <c r="AL46" s="17">
        <v>2</v>
      </c>
      <c r="AM46" s="7">
        <v>1982</v>
      </c>
      <c r="AN46" s="298"/>
      <c r="AO46" s="7">
        <v>2240</v>
      </c>
      <c r="AP46" s="73">
        <f>592+200</f>
        <v>792</v>
      </c>
      <c r="AQ46" s="39">
        <f>295-200+1</f>
        <v>96</v>
      </c>
      <c r="AR46" s="255">
        <f t="shared" si="2"/>
        <v>1352</v>
      </c>
      <c r="AS46" s="6"/>
      <c r="AT46" s="112"/>
    </row>
    <row r="47" spans="1:46" ht="24.75" customHeight="1">
      <c r="A47" s="41" t="s">
        <v>317</v>
      </c>
      <c r="B47" s="8" t="s">
        <v>77</v>
      </c>
      <c r="C47" s="6" t="s">
        <v>230</v>
      </c>
      <c r="D47" s="7" t="s">
        <v>2</v>
      </c>
      <c r="E47" s="7">
        <v>1000</v>
      </c>
      <c r="F47" s="22">
        <v>2</v>
      </c>
      <c r="G47" s="23">
        <v>2</v>
      </c>
      <c r="H47" s="22">
        <v>2</v>
      </c>
      <c r="I47" s="23"/>
      <c r="J47" s="23">
        <v>2</v>
      </c>
      <c r="K47" s="22"/>
      <c r="L47" s="22"/>
      <c r="M47" s="23"/>
      <c r="N47" s="22"/>
      <c r="O47" s="33"/>
      <c r="P47" s="34"/>
      <c r="Q47" s="34">
        <v>2</v>
      </c>
      <c r="R47" s="34"/>
      <c r="S47" s="34"/>
      <c r="T47" s="35">
        <v>1</v>
      </c>
      <c r="U47" s="28">
        <v>36</v>
      </c>
      <c r="V47" s="28">
        <v>2</v>
      </c>
      <c r="W47" s="28"/>
      <c r="X47" s="28"/>
      <c r="Y47" s="28">
        <v>1</v>
      </c>
      <c r="Z47" s="9"/>
      <c r="AA47" s="9"/>
      <c r="AB47" s="9"/>
      <c r="AC47" s="9"/>
      <c r="AD47" s="9"/>
      <c r="AE47" s="9"/>
      <c r="AF47" s="9"/>
      <c r="AG47" s="9"/>
      <c r="AH47" s="7">
        <v>0</v>
      </c>
      <c r="AI47" s="7">
        <v>0</v>
      </c>
      <c r="AJ47" s="17">
        <v>0</v>
      </c>
      <c r="AK47" s="17">
        <v>0</v>
      </c>
      <c r="AL47" s="17">
        <v>3</v>
      </c>
      <c r="AM47" s="7">
        <v>1987</v>
      </c>
      <c r="AN47" s="298" t="s">
        <v>22</v>
      </c>
      <c r="AO47" s="7">
        <v>1400</v>
      </c>
      <c r="AP47" s="73">
        <v>657</v>
      </c>
      <c r="AQ47" s="39">
        <v>60</v>
      </c>
      <c r="AR47" s="255">
        <f t="shared" si="2"/>
        <v>683</v>
      </c>
      <c r="AS47" s="6">
        <v>2015</v>
      </c>
      <c r="AT47" s="112"/>
    </row>
    <row r="48" spans="1:46" ht="24.75" customHeight="1">
      <c r="A48" s="41" t="s">
        <v>318</v>
      </c>
      <c r="B48" s="8" t="s">
        <v>78</v>
      </c>
      <c r="C48" s="6" t="s">
        <v>230</v>
      </c>
      <c r="D48" s="7" t="s">
        <v>2</v>
      </c>
      <c r="E48" s="7">
        <v>1000</v>
      </c>
      <c r="F48" s="22">
        <v>2</v>
      </c>
      <c r="G48" s="23">
        <v>2</v>
      </c>
      <c r="H48" s="22">
        <v>2</v>
      </c>
      <c r="I48" s="23"/>
      <c r="J48" s="23">
        <v>2</v>
      </c>
      <c r="K48" s="22"/>
      <c r="L48" s="22"/>
      <c r="M48" s="23"/>
      <c r="N48" s="22"/>
      <c r="O48" s="33"/>
      <c r="P48" s="34"/>
      <c r="Q48" s="34">
        <v>2</v>
      </c>
      <c r="R48" s="34"/>
      <c r="S48" s="34"/>
      <c r="T48" s="35">
        <v>1</v>
      </c>
      <c r="U48" s="28">
        <v>34</v>
      </c>
      <c r="V48" s="28">
        <v>2</v>
      </c>
      <c r="W48" s="28"/>
      <c r="X48" s="28"/>
      <c r="Y48" s="28">
        <v>1</v>
      </c>
      <c r="Z48" s="9"/>
      <c r="AA48" s="9"/>
      <c r="AB48" s="9"/>
      <c r="AC48" s="9"/>
      <c r="AD48" s="9"/>
      <c r="AE48" s="9"/>
      <c r="AF48" s="9"/>
      <c r="AG48" s="9"/>
      <c r="AH48" s="7">
        <v>0</v>
      </c>
      <c r="AI48" s="7">
        <v>0</v>
      </c>
      <c r="AJ48" s="17">
        <v>0</v>
      </c>
      <c r="AK48" s="17">
        <v>0</v>
      </c>
      <c r="AL48" s="17">
        <v>2</v>
      </c>
      <c r="AM48" s="7">
        <v>1985</v>
      </c>
      <c r="AN48" s="298"/>
      <c r="AO48" s="7">
        <v>1400</v>
      </c>
      <c r="AP48" s="73">
        <v>592</v>
      </c>
      <c r="AQ48" s="39">
        <v>0</v>
      </c>
      <c r="AR48" s="255">
        <f t="shared" si="2"/>
        <v>808</v>
      </c>
      <c r="AS48" s="6">
        <v>2015</v>
      </c>
      <c r="AT48" s="112"/>
    </row>
    <row r="49" spans="1:46" ht="24.75" customHeight="1">
      <c r="A49" s="41" t="s">
        <v>319</v>
      </c>
      <c r="B49" s="8" t="s">
        <v>79</v>
      </c>
      <c r="C49" s="6" t="s">
        <v>230</v>
      </c>
      <c r="D49" s="7" t="s">
        <v>3</v>
      </c>
      <c r="E49" s="7">
        <v>1000</v>
      </c>
      <c r="F49" s="22">
        <v>2</v>
      </c>
      <c r="G49" s="23">
        <v>6</v>
      </c>
      <c r="H49" s="22">
        <v>6</v>
      </c>
      <c r="I49" s="23"/>
      <c r="J49" s="23">
        <v>6</v>
      </c>
      <c r="K49" s="22"/>
      <c r="L49" s="22"/>
      <c r="M49" s="23"/>
      <c r="N49" s="22"/>
      <c r="O49" s="33">
        <v>4</v>
      </c>
      <c r="P49" s="34">
        <v>4</v>
      </c>
      <c r="Q49" s="34">
        <v>4</v>
      </c>
      <c r="R49" s="34"/>
      <c r="S49" s="34"/>
      <c r="T49" s="35">
        <v>1</v>
      </c>
      <c r="U49" s="28">
        <v>42</v>
      </c>
      <c r="V49" s="28">
        <v>2</v>
      </c>
      <c r="W49" s="28"/>
      <c r="X49" s="28"/>
      <c r="Y49" s="28">
        <v>1</v>
      </c>
      <c r="Z49" s="9"/>
      <c r="AA49" s="9"/>
      <c r="AB49" s="9"/>
      <c r="AC49" s="9"/>
      <c r="AD49" s="9"/>
      <c r="AE49" s="9"/>
      <c r="AF49" s="9"/>
      <c r="AG49" s="9"/>
      <c r="AH49" s="7">
        <v>0</v>
      </c>
      <c r="AI49" s="7">
        <v>0</v>
      </c>
      <c r="AJ49" s="17">
        <v>0</v>
      </c>
      <c r="AK49" s="17">
        <v>0</v>
      </c>
      <c r="AL49" s="17">
        <v>2</v>
      </c>
      <c r="AM49" s="7">
        <v>1988</v>
      </c>
      <c r="AN49" s="298"/>
      <c r="AO49" s="7">
        <v>1400</v>
      </c>
      <c r="AP49" s="73">
        <v>658</v>
      </c>
      <c r="AQ49" s="39">
        <v>0</v>
      </c>
      <c r="AR49" s="255">
        <f t="shared" si="2"/>
        <v>742</v>
      </c>
      <c r="AS49" s="6">
        <v>2015</v>
      </c>
      <c r="AT49" s="112" t="s">
        <v>356</v>
      </c>
    </row>
    <row r="50" spans="1:46" ht="24.75" customHeight="1">
      <c r="A50" s="41" t="s">
        <v>320</v>
      </c>
      <c r="B50" s="8" t="s">
        <v>115</v>
      </c>
      <c r="C50" s="6" t="s">
        <v>230</v>
      </c>
      <c r="D50" s="7" t="s">
        <v>0</v>
      </c>
      <c r="E50" s="7">
        <v>630</v>
      </c>
      <c r="F50" s="22">
        <v>1</v>
      </c>
      <c r="G50" s="23">
        <v>4</v>
      </c>
      <c r="H50" s="22">
        <v>4</v>
      </c>
      <c r="I50" s="23"/>
      <c r="J50" s="23">
        <v>4</v>
      </c>
      <c r="K50" s="22"/>
      <c r="L50" s="22"/>
      <c r="M50" s="23"/>
      <c r="N50" s="22"/>
      <c r="O50" s="33"/>
      <c r="P50" s="34"/>
      <c r="Q50" s="34">
        <v>4</v>
      </c>
      <c r="R50" s="34"/>
      <c r="S50" s="34"/>
      <c r="T50" s="35">
        <v>1</v>
      </c>
      <c r="U50" s="28">
        <v>12</v>
      </c>
      <c r="V50" s="28">
        <v>1</v>
      </c>
      <c r="W50" s="28"/>
      <c r="X50" s="28"/>
      <c r="Y50" s="28"/>
      <c r="Z50" s="9"/>
      <c r="AA50" s="9"/>
      <c r="AB50" s="9"/>
      <c r="AC50" s="9"/>
      <c r="AD50" s="9"/>
      <c r="AE50" s="9"/>
      <c r="AF50" s="9"/>
      <c r="AG50" s="9"/>
      <c r="AH50" s="7">
        <v>0</v>
      </c>
      <c r="AI50" s="7">
        <v>0</v>
      </c>
      <c r="AJ50" s="17">
        <v>0</v>
      </c>
      <c r="AK50" s="17">
        <v>0</v>
      </c>
      <c r="AL50" s="17">
        <v>1</v>
      </c>
      <c r="AM50" s="7">
        <v>1985</v>
      </c>
      <c r="AN50" s="8"/>
      <c r="AO50" s="7">
        <v>441</v>
      </c>
      <c r="AP50" s="73">
        <v>335.27</v>
      </c>
      <c r="AQ50" s="39">
        <v>0</v>
      </c>
      <c r="AR50" s="255">
        <f t="shared" si="2"/>
        <v>105.73000000000002</v>
      </c>
      <c r="AS50" s="6"/>
      <c r="AT50" s="112"/>
    </row>
    <row r="51" spans="1:46" ht="24.75" customHeight="1">
      <c r="A51" s="41" t="s">
        <v>321</v>
      </c>
      <c r="B51" s="8" t="s">
        <v>116</v>
      </c>
      <c r="C51" s="6" t="s">
        <v>230</v>
      </c>
      <c r="D51" s="7" t="s">
        <v>0</v>
      </c>
      <c r="E51" s="7">
        <v>630</v>
      </c>
      <c r="F51" s="22">
        <v>1</v>
      </c>
      <c r="G51" s="23">
        <v>4</v>
      </c>
      <c r="H51" s="22">
        <v>4</v>
      </c>
      <c r="I51" s="23"/>
      <c r="J51" s="23">
        <v>4</v>
      </c>
      <c r="K51" s="22"/>
      <c r="L51" s="22"/>
      <c r="M51" s="23"/>
      <c r="N51" s="22"/>
      <c r="O51" s="33"/>
      <c r="P51" s="34"/>
      <c r="Q51" s="34">
        <v>4</v>
      </c>
      <c r="R51" s="34"/>
      <c r="S51" s="34"/>
      <c r="T51" s="35">
        <v>1</v>
      </c>
      <c r="U51" s="28">
        <v>12</v>
      </c>
      <c r="V51" s="28">
        <v>1</v>
      </c>
      <c r="W51" s="28"/>
      <c r="X51" s="28"/>
      <c r="Y51" s="28"/>
      <c r="Z51" s="9"/>
      <c r="AA51" s="9"/>
      <c r="AB51" s="9"/>
      <c r="AC51" s="9"/>
      <c r="AD51" s="9"/>
      <c r="AE51" s="9"/>
      <c r="AF51" s="9"/>
      <c r="AG51" s="9"/>
      <c r="AH51" s="7">
        <v>0</v>
      </c>
      <c r="AI51" s="7">
        <v>0</v>
      </c>
      <c r="AJ51" s="17">
        <v>0</v>
      </c>
      <c r="AK51" s="17">
        <v>0</v>
      </c>
      <c r="AL51" s="17">
        <v>1</v>
      </c>
      <c r="AM51" s="7">
        <v>1985</v>
      </c>
      <c r="AN51" s="8"/>
      <c r="AO51" s="7">
        <v>441</v>
      </c>
      <c r="AP51" s="73">
        <v>198</v>
      </c>
      <c r="AQ51" s="39">
        <f>223+30-30-150</f>
        <v>73</v>
      </c>
      <c r="AR51" s="255">
        <f t="shared" si="2"/>
        <v>170</v>
      </c>
      <c r="AS51" s="6"/>
      <c r="AT51" s="112"/>
    </row>
    <row r="52" spans="1:46" ht="24.75" customHeight="1">
      <c r="A52" s="41" t="s">
        <v>322</v>
      </c>
      <c r="B52" s="8" t="s">
        <v>120</v>
      </c>
      <c r="C52" s="6" t="s">
        <v>230</v>
      </c>
      <c r="D52" s="7" t="s">
        <v>0</v>
      </c>
      <c r="E52" s="7">
        <v>630</v>
      </c>
      <c r="F52" s="22">
        <v>1</v>
      </c>
      <c r="G52" s="23">
        <v>4</v>
      </c>
      <c r="H52" s="22">
        <v>4</v>
      </c>
      <c r="I52" s="23"/>
      <c r="J52" s="23">
        <v>4</v>
      </c>
      <c r="K52" s="22"/>
      <c r="L52" s="22"/>
      <c r="M52" s="23"/>
      <c r="N52" s="22"/>
      <c r="O52" s="33"/>
      <c r="P52" s="34"/>
      <c r="Q52" s="34">
        <v>4</v>
      </c>
      <c r="R52" s="34"/>
      <c r="S52" s="34"/>
      <c r="T52" s="35">
        <v>1</v>
      </c>
      <c r="U52" s="28">
        <v>14</v>
      </c>
      <c r="V52" s="28">
        <v>1</v>
      </c>
      <c r="W52" s="28"/>
      <c r="X52" s="28"/>
      <c r="Y52" s="28"/>
      <c r="Z52" s="9"/>
      <c r="AA52" s="9"/>
      <c r="AB52" s="9"/>
      <c r="AC52" s="9"/>
      <c r="AD52" s="9"/>
      <c r="AE52" s="9"/>
      <c r="AF52" s="9"/>
      <c r="AG52" s="9"/>
      <c r="AH52" s="7">
        <v>0</v>
      </c>
      <c r="AI52" s="7">
        <v>0</v>
      </c>
      <c r="AJ52" s="17">
        <v>0</v>
      </c>
      <c r="AK52" s="17">
        <v>0</v>
      </c>
      <c r="AL52" s="17">
        <v>1</v>
      </c>
      <c r="AM52" s="7">
        <v>1988</v>
      </c>
      <c r="AN52" s="68" t="s">
        <v>65</v>
      </c>
      <c r="AO52" s="7">
        <v>441</v>
      </c>
      <c r="AP52" s="73">
        <v>263</v>
      </c>
      <c r="AQ52" s="40">
        <f>25+40</f>
        <v>65</v>
      </c>
      <c r="AR52" s="255">
        <f t="shared" si="2"/>
        <v>113</v>
      </c>
      <c r="AS52" s="6"/>
      <c r="AT52" s="112"/>
    </row>
    <row r="53" spans="1:46" ht="24.75" customHeight="1">
      <c r="A53" s="41" t="s">
        <v>323</v>
      </c>
      <c r="B53" s="8" t="s">
        <v>117</v>
      </c>
      <c r="C53" s="6" t="s">
        <v>230</v>
      </c>
      <c r="D53" s="7" t="s">
        <v>0</v>
      </c>
      <c r="E53" s="7">
        <v>630</v>
      </c>
      <c r="F53" s="22">
        <v>2</v>
      </c>
      <c r="G53" s="23">
        <v>8</v>
      </c>
      <c r="H53" s="22">
        <v>8</v>
      </c>
      <c r="I53" s="23"/>
      <c r="J53" s="23">
        <v>6</v>
      </c>
      <c r="K53" s="22"/>
      <c r="L53" s="22"/>
      <c r="M53" s="23"/>
      <c r="N53" s="22"/>
      <c r="O53" s="33">
        <v>2</v>
      </c>
      <c r="P53" s="34">
        <v>2</v>
      </c>
      <c r="Q53" s="34">
        <v>8</v>
      </c>
      <c r="R53" s="34"/>
      <c r="S53" s="34"/>
      <c r="T53" s="35">
        <v>2</v>
      </c>
      <c r="U53" s="28">
        <v>32</v>
      </c>
      <c r="V53" s="28">
        <v>2</v>
      </c>
      <c r="W53" s="28"/>
      <c r="X53" s="28"/>
      <c r="Y53" s="28"/>
      <c r="Z53" s="9"/>
      <c r="AA53" s="9"/>
      <c r="AB53" s="9"/>
      <c r="AC53" s="9"/>
      <c r="AD53" s="9"/>
      <c r="AE53" s="9"/>
      <c r="AF53" s="9"/>
      <c r="AG53" s="9"/>
      <c r="AH53" s="7">
        <v>0</v>
      </c>
      <c r="AI53" s="7">
        <v>0</v>
      </c>
      <c r="AJ53" s="17">
        <v>0</v>
      </c>
      <c r="AK53" s="17">
        <v>0</v>
      </c>
      <c r="AL53" s="17">
        <v>2</v>
      </c>
      <c r="AM53" s="7">
        <v>1985</v>
      </c>
      <c r="AN53" s="8"/>
      <c r="AO53" s="7">
        <v>840</v>
      </c>
      <c r="AP53" s="73">
        <v>394</v>
      </c>
      <c r="AQ53" s="39">
        <v>0</v>
      </c>
      <c r="AR53" s="255">
        <f t="shared" si="2"/>
        <v>446</v>
      </c>
      <c r="AS53" s="6"/>
      <c r="AT53" s="112"/>
    </row>
    <row r="54" spans="1:46" ht="24.75" customHeight="1">
      <c r="A54" s="41" t="s">
        <v>324</v>
      </c>
      <c r="B54" s="8" t="s">
        <v>122</v>
      </c>
      <c r="C54" s="6" t="s">
        <v>230</v>
      </c>
      <c r="D54" s="59" t="s">
        <v>5</v>
      </c>
      <c r="E54" s="86" t="s">
        <v>6</v>
      </c>
      <c r="F54" s="60">
        <v>2</v>
      </c>
      <c r="G54" s="61">
        <v>6</v>
      </c>
      <c r="H54" s="60">
        <v>6</v>
      </c>
      <c r="I54" s="61"/>
      <c r="J54" s="61">
        <v>6</v>
      </c>
      <c r="K54" s="62"/>
      <c r="L54" s="62"/>
      <c r="M54" s="61"/>
      <c r="N54" s="62"/>
      <c r="O54" s="61">
        <v>4</v>
      </c>
      <c r="P54" s="60">
        <v>4</v>
      </c>
      <c r="Q54" s="60">
        <v>4</v>
      </c>
      <c r="R54" s="60"/>
      <c r="S54" s="60"/>
      <c r="T54" s="28">
        <v>2</v>
      </c>
      <c r="U54" s="28">
        <v>26</v>
      </c>
      <c r="V54" s="28">
        <v>2</v>
      </c>
      <c r="W54" s="28"/>
      <c r="X54" s="28"/>
      <c r="Y54" s="28"/>
      <c r="Z54" s="9"/>
      <c r="AA54" s="9"/>
      <c r="AB54" s="9"/>
      <c r="AC54" s="9"/>
      <c r="AD54" s="9"/>
      <c r="AE54" s="9"/>
      <c r="AF54" s="9"/>
      <c r="AG54" s="9"/>
      <c r="AH54" s="7">
        <v>0</v>
      </c>
      <c r="AI54" s="7">
        <v>0</v>
      </c>
      <c r="AJ54" s="17">
        <v>0</v>
      </c>
      <c r="AK54" s="17">
        <v>0</v>
      </c>
      <c r="AL54" s="17">
        <v>2</v>
      </c>
      <c r="AM54" s="6">
        <v>1987</v>
      </c>
      <c r="AN54" s="8" t="s">
        <v>84</v>
      </c>
      <c r="AO54" s="7">
        <v>721</v>
      </c>
      <c r="AP54" s="73">
        <v>526</v>
      </c>
      <c r="AQ54" s="8">
        <v>200</v>
      </c>
      <c r="AR54" s="255">
        <f t="shared" si="2"/>
        <v>-5</v>
      </c>
      <c r="AS54" s="6">
        <v>2012</v>
      </c>
      <c r="AT54" s="112"/>
    </row>
    <row r="55" spans="1:46" s="169" customFormat="1" ht="36.75" customHeight="1">
      <c r="A55" s="164" t="s">
        <v>308</v>
      </c>
      <c r="B55" s="165" t="s">
        <v>21</v>
      </c>
      <c r="C55" s="166" t="s">
        <v>230</v>
      </c>
      <c r="D55" s="191"/>
      <c r="E55" s="168">
        <v>40</v>
      </c>
      <c r="F55" s="168">
        <v>2</v>
      </c>
      <c r="G55" s="168">
        <v>23</v>
      </c>
      <c r="H55" s="168">
        <v>23</v>
      </c>
      <c r="I55" s="168">
        <v>15</v>
      </c>
      <c r="J55" s="168">
        <v>10</v>
      </c>
      <c r="K55" s="168">
        <v>15</v>
      </c>
      <c r="L55" s="168"/>
      <c r="M55" s="168"/>
      <c r="N55" s="168"/>
      <c r="O55" s="168">
        <v>3</v>
      </c>
      <c r="P55" s="168">
        <v>3</v>
      </c>
      <c r="Q55" s="168"/>
      <c r="R55" s="168">
        <v>6</v>
      </c>
      <c r="S55" s="168"/>
      <c r="T55" s="182">
        <v>16</v>
      </c>
      <c r="U55" s="165">
        <v>21</v>
      </c>
      <c r="V55" s="165">
        <v>1</v>
      </c>
      <c r="W55" s="165"/>
      <c r="X55" s="165">
        <v>63</v>
      </c>
      <c r="Y55" s="165">
        <v>1</v>
      </c>
      <c r="Z55" s="165"/>
      <c r="AA55" s="165"/>
      <c r="AB55" s="165"/>
      <c r="AC55" s="165"/>
      <c r="AD55" s="165"/>
      <c r="AE55" s="165"/>
      <c r="AF55" s="165"/>
      <c r="AG55" s="165"/>
      <c r="AH55" s="168">
        <v>2</v>
      </c>
      <c r="AI55" s="168">
        <v>0</v>
      </c>
      <c r="AJ55" s="168">
        <v>4</v>
      </c>
      <c r="AK55" s="168">
        <v>15</v>
      </c>
      <c r="AL55" s="168">
        <v>0</v>
      </c>
      <c r="AM55" s="167">
        <v>1987</v>
      </c>
      <c r="AN55" s="168" t="s">
        <v>111</v>
      </c>
      <c r="AO55" s="178">
        <f>SUM(AO56:AO63)</f>
        <v>7364</v>
      </c>
      <c r="AP55" s="175">
        <f>SUM(AP56:AP63)</f>
        <v>3474</v>
      </c>
      <c r="AQ55" s="175">
        <f>SUM(AQ56:AQ63)</f>
        <v>794.5</v>
      </c>
      <c r="AR55" s="260">
        <f>AO55-AP55-AQ55</f>
        <v>3095.5</v>
      </c>
      <c r="AS55" s="166">
        <v>2011</v>
      </c>
      <c r="AT55" s="116"/>
    </row>
    <row r="56" spans="1:46" ht="21.75" customHeight="1">
      <c r="A56" s="41" t="s">
        <v>325</v>
      </c>
      <c r="B56" s="8" t="s">
        <v>110</v>
      </c>
      <c r="C56" s="6" t="s">
        <v>230</v>
      </c>
      <c r="D56" s="7" t="s">
        <v>0</v>
      </c>
      <c r="E56" s="7">
        <v>630</v>
      </c>
      <c r="F56" s="22">
        <v>2</v>
      </c>
      <c r="G56" s="23">
        <v>4</v>
      </c>
      <c r="H56" s="22">
        <v>4</v>
      </c>
      <c r="I56" s="23"/>
      <c r="J56" s="23">
        <v>4</v>
      </c>
      <c r="K56" s="22"/>
      <c r="L56" s="22"/>
      <c r="M56" s="23"/>
      <c r="N56" s="22"/>
      <c r="O56" s="33"/>
      <c r="P56" s="34"/>
      <c r="Q56" s="34">
        <v>4</v>
      </c>
      <c r="R56" s="34"/>
      <c r="S56" s="34"/>
      <c r="T56" s="35">
        <v>1</v>
      </c>
      <c r="U56" s="28">
        <v>14</v>
      </c>
      <c r="V56" s="28">
        <v>1</v>
      </c>
      <c r="W56" s="28"/>
      <c r="X56" s="28"/>
      <c r="Y56" s="28"/>
      <c r="Z56" s="9"/>
      <c r="AA56" s="9"/>
      <c r="AB56" s="9"/>
      <c r="AC56" s="9"/>
      <c r="AD56" s="9"/>
      <c r="AE56" s="9"/>
      <c r="AF56" s="9"/>
      <c r="AG56" s="9"/>
      <c r="AH56" s="7">
        <v>0</v>
      </c>
      <c r="AI56" s="7">
        <v>0</v>
      </c>
      <c r="AJ56" s="17">
        <v>0</v>
      </c>
      <c r="AK56" s="17">
        <v>0</v>
      </c>
      <c r="AL56" s="17">
        <v>1</v>
      </c>
      <c r="AM56" s="7">
        <v>1985</v>
      </c>
      <c r="AN56" s="298" t="s">
        <v>111</v>
      </c>
      <c r="AO56" s="7">
        <v>882</v>
      </c>
      <c r="AP56" s="73">
        <v>342</v>
      </c>
      <c r="AQ56" s="101">
        <f>3.5-3.5</f>
        <v>0</v>
      </c>
      <c r="AR56" s="255">
        <f aca="true" t="shared" si="3" ref="AR56:AR62">AO56-AP56-AQ56</f>
        <v>540</v>
      </c>
      <c r="AS56" s="6"/>
      <c r="AT56" s="112"/>
    </row>
    <row r="57" spans="1:46" ht="21.75" customHeight="1">
      <c r="A57" s="41" t="s">
        <v>326</v>
      </c>
      <c r="B57" s="8" t="s">
        <v>112</v>
      </c>
      <c r="C57" s="6" t="s">
        <v>230</v>
      </c>
      <c r="D57" s="7" t="s">
        <v>0</v>
      </c>
      <c r="E57" s="7">
        <v>1000</v>
      </c>
      <c r="F57" s="22">
        <v>1</v>
      </c>
      <c r="G57" s="23">
        <v>4</v>
      </c>
      <c r="H57" s="22">
        <v>4</v>
      </c>
      <c r="I57" s="23"/>
      <c r="J57" s="23">
        <v>4</v>
      </c>
      <c r="K57" s="22"/>
      <c r="L57" s="22"/>
      <c r="M57" s="23"/>
      <c r="N57" s="22"/>
      <c r="O57" s="33"/>
      <c r="P57" s="34"/>
      <c r="Q57" s="34">
        <v>4</v>
      </c>
      <c r="R57" s="34"/>
      <c r="S57" s="34"/>
      <c r="T57" s="35">
        <v>1</v>
      </c>
      <c r="U57" s="28">
        <v>16</v>
      </c>
      <c r="V57" s="28">
        <v>1</v>
      </c>
      <c r="W57" s="28"/>
      <c r="X57" s="28"/>
      <c r="Y57" s="28"/>
      <c r="Z57" s="9"/>
      <c r="AA57" s="9"/>
      <c r="AB57" s="9"/>
      <c r="AC57" s="9"/>
      <c r="AD57" s="9"/>
      <c r="AE57" s="9"/>
      <c r="AF57" s="9"/>
      <c r="AG57" s="9"/>
      <c r="AH57" s="7">
        <v>0</v>
      </c>
      <c r="AI57" s="7">
        <v>0</v>
      </c>
      <c r="AJ57" s="17">
        <v>0</v>
      </c>
      <c r="AK57" s="17">
        <v>0</v>
      </c>
      <c r="AL57" s="17">
        <v>1</v>
      </c>
      <c r="AM57" s="7">
        <v>1988</v>
      </c>
      <c r="AN57" s="298"/>
      <c r="AO57" s="7">
        <v>700</v>
      </c>
      <c r="AP57" s="73">
        <f>493+3</f>
        <v>496</v>
      </c>
      <c r="AQ57" s="39">
        <f>50+3-3</f>
        <v>50</v>
      </c>
      <c r="AR57" s="256">
        <f t="shared" si="3"/>
        <v>154</v>
      </c>
      <c r="AS57" s="6"/>
      <c r="AT57" s="112"/>
    </row>
    <row r="58" spans="1:46" ht="21.75" customHeight="1">
      <c r="A58" s="41" t="s">
        <v>327</v>
      </c>
      <c r="B58" s="8" t="s">
        <v>113</v>
      </c>
      <c r="C58" s="6" t="s">
        <v>230</v>
      </c>
      <c r="D58" s="7" t="s">
        <v>0</v>
      </c>
      <c r="E58" s="7">
        <v>630</v>
      </c>
      <c r="F58" s="22">
        <v>1</v>
      </c>
      <c r="G58" s="23">
        <v>4</v>
      </c>
      <c r="H58" s="22">
        <v>4</v>
      </c>
      <c r="I58" s="23"/>
      <c r="J58" s="23">
        <v>4</v>
      </c>
      <c r="K58" s="22"/>
      <c r="L58" s="22"/>
      <c r="M58" s="23"/>
      <c r="N58" s="22"/>
      <c r="O58" s="33"/>
      <c r="P58" s="34"/>
      <c r="Q58" s="34">
        <v>4</v>
      </c>
      <c r="R58" s="34"/>
      <c r="S58" s="34"/>
      <c r="T58" s="35">
        <v>1</v>
      </c>
      <c r="U58" s="28">
        <v>12</v>
      </c>
      <c r="V58" s="28">
        <v>1</v>
      </c>
      <c r="W58" s="28"/>
      <c r="X58" s="28"/>
      <c r="Y58" s="28"/>
      <c r="Z58" s="9"/>
      <c r="AA58" s="9"/>
      <c r="AB58" s="9"/>
      <c r="AC58" s="9"/>
      <c r="AD58" s="9"/>
      <c r="AE58" s="9"/>
      <c r="AF58" s="9"/>
      <c r="AG58" s="9"/>
      <c r="AH58" s="7">
        <v>0</v>
      </c>
      <c r="AI58" s="7">
        <v>0</v>
      </c>
      <c r="AJ58" s="17">
        <v>0</v>
      </c>
      <c r="AK58" s="17">
        <v>0</v>
      </c>
      <c r="AL58" s="17">
        <v>1</v>
      </c>
      <c r="AM58" s="7">
        <v>1987</v>
      </c>
      <c r="AN58" s="298"/>
      <c r="AO58" s="7">
        <v>441</v>
      </c>
      <c r="AP58" s="73">
        <v>263</v>
      </c>
      <c r="AQ58" s="39">
        <f>24+7+15</f>
        <v>46</v>
      </c>
      <c r="AR58" s="255">
        <f t="shared" si="3"/>
        <v>132</v>
      </c>
      <c r="AS58" s="6"/>
      <c r="AT58" s="112"/>
    </row>
    <row r="59" spans="1:46" ht="21.75" customHeight="1">
      <c r="A59" s="41" t="s">
        <v>328</v>
      </c>
      <c r="B59" s="8" t="s">
        <v>114</v>
      </c>
      <c r="C59" s="6" t="s">
        <v>230</v>
      </c>
      <c r="D59" s="7" t="s">
        <v>1</v>
      </c>
      <c r="E59" s="7">
        <v>1000</v>
      </c>
      <c r="F59" s="22">
        <v>2</v>
      </c>
      <c r="G59" s="23">
        <v>7</v>
      </c>
      <c r="H59" s="22">
        <v>7</v>
      </c>
      <c r="I59" s="23"/>
      <c r="J59" s="23">
        <v>7</v>
      </c>
      <c r="K59" s="22"/>
      <c r="L59" s="22"/>
      <c r="M59" s="23"/>
      <c r="N59" s="22"/>
      <c r="O59" s="33">
        <v>4</v>
      </c>
      <c r="P59" s="34">
        <v>4</v>
      </c>
      <c r="Q59" s="34">
        <v>3</v>
      </c>
      <c r="R59" s="34"/>
      <c r="S59" s="34"/>
      <c r="T59" s="35">
        <v>2</v>
      </c>
      <c r="U59" s="28">
        <v>32</v>
      </c>
      <c r="V59" s="28">
        <v>2</v>
      </c>
      <c r="W59" s="28"/>
      <c r="X59" s="28"/>
      <c r="Y59" s="28"/>
      <c r="Z59" s="9"/>
      <c r="AA59" s="9"/>
      <c r="AB59" s="9"/>
      <c r="AC59" s="9"/>
      <c r="AD59" s="9"/>
      <c r="AE59" s="9"/>
      <c r="AF59" s="9"/>
      <c r="AG59" s="9"/>
      <c r="AH59" s="7">
        <v>0</v>
      </c>
      <c r="AI59" s="7">
        <v>0</v>
      </c>
      <c r="AJ59" s="17">
        <v>0</v>
      </c>
      <c r="AK59" s="17">
        <v>0</v>
      </c>
      <c r="AL59" s="17">
        <v>2</v>
      </c>
      <c r="AM59" s="7">
        <v>1987</v>
      </c>
      <c r="AN59" s="298"/>
      <c r="AO59" s="7">
        <v>1400</v>
      </c>
      <c r="AP59" s="73">
        <v>559</v>
      </c>
      <c r="AQ59" s="39">
        <f>207+12.5+18+10+18</f>
        <v>265.5</v>
      </c>
      <c r="AR59" s="255">
        <f t="shared" si="3"/>
        <v>575.5</v>
      </c>
      <c r="AS59" s="6"/>
      <c r="AT59" s="112"/>
    </row>
    <row r="60" spans="1:46" ht="24.75" customHeight="1">
      <c r="A60" s="41" t="s">
        <v>329</v>
      </c>
      <c r="B60" s="8" t="s">
        <v>118</v>
      </c>
      <c r="C60" s="6" t="s">
        <v>230</v>
      </c>
      <c r="D60" s="7" t="s">
        <v>0</v>
      </c>
      <c r="E60" s="7">
        <v>630</v>
      </c>
      <c r="F60" s="22">
        <v>1</v>
      </c>
      <c r="G60" s="23">
        <v>4</v>
      </c>
      <c r="H60" s="22">
        <v>4</v>
      </c>
      <c r="I60" s="23"/>
      <c r="J60" s="23">
        <v>4</v>
      </c>
      <c r="K60" s="22"/>
      <c r="L60" s="22"/>
      <c r="M60" s="23"/>
      <c r="N60" s="22"/>
      <c r="O60" s="33"/>
      <c r="P60" s="34"/>
      <c r="Q60" s="34">
        <v>4</v>
      </c>
      <c r="R60" s="34"/>
      <c r="S60" s="34"/>
      <c r="T60" s="35">
        <v>1</v>
      </c>
      <c r="U60" s="28">
        <v>16</v>
      </c>
      <c r="V60" s="28">
        <v>1</v>
      </c>
      <c r="W60" s="28"/>
      <c r="X60" s="28"/>
      <c r="Y60" s="28"/>
      <c r="Z60" s="9"/>
      <c r="AA60" s="9"/>
      <c r="AB60" s="9"/>
      <c r="AC60" s="9"/>
      <c r="AD60" s="9"/>
      <c r="AE60" s="9"/>
      <c r="AF60" s="9"/>
      <c r="AG60" s="9"/>
      <c r="AH60" s="7">
        <v>0</v>
      </c>
      <c r="AI60" s="7">
        <v>0</v>
      </c>
      <c r="AJ60" s="17">
        <v>0</v>
      </c>
      <c r="AK60" s="17">
        <v>0</v>
      </c>
      <c r="AL60" s="17">
        <v>1</v>
      </c>
      <c r="AM60" s="7">
        <v>1985</v>
      </c>
      <c r="AN60" s="8" t="s">
        <v>119</v>
      </c>
      <c r="AO60" s="7">
        <v>441</v>
      </c>
      <c r="AP60" s="73">
        <v>293</v>
      </c>
      <c r="AQ60" s="39">
        <v>0</v>
      </c>
      <c r="AR60" s="255">
        <f t="shared" si="3"/>
        <v>148</v>
      </c>
      <c r="AS60" s="6"/>
      <c r="AT60" s="112"/>
    </row>
    <row r="61" spans="1:46" ht="24.75" customHeight="1">
      <c r="A61" s="41" t="s">
        <v>330</v>
      </c>
      <c r="B61" s="8" t="s">
        <v>121</v>
      </c>
      <c r="C61" s="6" t="s">
        <v>230</v>
      </c>
      <c r="D61" s="7" t="s">
        <v>0</v>
      </c>
      <c r="E61" s="7">
        <v>1000</v>
      </c>
      <c r="F61" s="22">
        <v>1</v>
      </c>
      <c r="G61" s="23">
        <v>4</v>
      </c>
      <c r="H61" s="22">
        <v>4</v>
      </c>
      <c r="I61" s="23"/>
      <c r="J61" s="23">
        <v>3</v>
      </c>
      <c r="K61" s="22"/>
      <c r="L61" s="22"/>
      <c r="M61" s="23"/>
      <c r="N61" s="22"/>
      <c r="O61" s="33">
        <v>1</v>
      </c>
      <c r="P61" s="34">
        <v>1</v>
      </c>
      <c r="Q61" s="34">
        <v>3</v>
      </c>
      <c r="R61" s="34"/>
      <c r="S61" s="34"/>
      <c r="T61" s="35">
        <v>1</v>
      </c>
      <c r="U61" s="28">
        <v>16</v>
      </c>
      <c r="V61" s="28">
        <v>1</v>
      </c>
      <c r="W61" s="28"/>
      <c r="X61" s="28"/>
      <c r="Y61" s="28"/>
      <c r="Z61" s="9"/>
      <c r="AA61" s="9"/>
      <c r="AB61" s="9"/>
      <c r="AC61" s="9"/>
      <c r="AD61" s="9"/>
      <c r="AE61" s="9"/>
      <c r="AF61" s="9"/>
      <c r="AG61" s="9"/>
      <c r="AH61" s="7">
        <v>0</v>
      </c>
      <c r="AI61" s="7">
        <v>0</v>
      </c>
      <c r="AJ61" s="17">
        <v>0</v>
      </c>
      <c r="AK61" s="17">
        <v>0</v>
      </c>
      <c r="AL61" s="17">
        <v>4</v>
      </c>
      <c r="AM61" s="7">
        <v>1987</v>
      </c>
      <c r="AN61" s="66" t="s">
        <v>65</v>
      </c>
      <c r="AO61" s="7">
        <v>700</v>
      </c>
      <c r="AP61" s="73">
        <v>437</v>
      </c>
      <c r="AQ61" s="40">
        <f>175-92+60-60</f>
        <v>83</v>
      </c>
      <c r="AR61" s="255">
        <f>AO61-AP61-AQ61</f>
        <v>180</v>
      </c>
      <c r="AS61" s="6" t="s">
        <v>264</v>
      </c>
      <c r="AT61" s="112"/>
    </row>
    <row r="62" spans="1:46" ht="24.75" customHeight="1">
      <c r="A62" s="41" t="s">
        <v>422</v>
      </c>
      <c r="B62" s="8" t="s">
        <v>407</v>
      </c>
      <c r="C62" s="6" t="s">
        <v>230</v>
      </c>
      <c r="D62" s="7" t="s">
        <v>0</v>
      </c>
      <c r="E62" s="7">
        <v>1000</v>
      </c>
      <c r="F62" s="22">
        <v>2</v>
      </c>
      <c r="G62" s="23">
        <v>4</v>
      </c>
      <c r="H62" s="22">
        <v>4</v>
      </c>
      <c r="I62" s="23"/>
      <c r="J62" s="23">
        <v>3</v>
      </c>
      <c r="K62" s="22"/>
      <c r="L62" s="22"/>
      <c r="M62" s="23"/>
      <c r="N62" s="22"/>
      <c r="O62" s="33">
        <v>1</v>
      </c>
      <c r="P62" s="34">
        <v>1</v>
      </c>
      <c r="Q62" s="34">
        <v>3</v>
      </c>
      <c r="R62" s="34"/>
      <c r="S62" s="34"/>
      <c r="T62" s="35">
        <v>1</v>
      </c>
      <c r="U62" s="28">
        <v>16</v>
      </c>
      <c r="V62" s="28">
        <v>1</v>
      </c>
      <c r="W62" s="28"/>
      <c r="X62" s="28"/>
      <c r="Y62" s="28"/>
      <c r="Z62" s="9"/>
      <c r="AA62" s="9"/>
      <c r="AB62" s="9"/>
      <c r="AC62" s="9"/>
      <c r="AD62" s="9"/>
      <c r="AE62" s="9"/>
      <c r="AF62" s="9"/>
      <c r="AG62" s="9"/>
      <c r="AH62" s="7">
        <v>0</v>
      </c>
      <c r="AI62" s="7">
        <v>0</v>
      </c>
      <c r="AJ62" s="17">
        <v>0</v>
      </c>
      <c r="AK62" s="17">
        <v>0</v>
      </c>
      <c r="AL62" s="17">
        <v>4</v>
      </c>
      <c r="AM62" s="7">
        <v>1987</v>
      </c>
      <c r="AN62" s="66" t="s">
        <v>408</v>
      </c>
      <c r="AO62" s="7">
        <v>1400</v>
      </c>
      <c r="AP62" s="73">
        <v>657</v>
      </c>
      <c r="AQ62" s="40">
        <v>0</v>
      </c>
      <c r="AR62" s="255">
        <f t="shared" si="3"/>
        <v>743</v>
      </c>
      <c r="AS62" s="6"/>
      <c r="AT62" s="112"/>
    </row>
    <row r="63" spans="1:46" ht="24.75" customHeight="1">
      <c r="A63" s="41" t="s">
        <v>423</v>
      </c>
      <c r="B63" s="8" t="s">
        <v>122</v>
      </c>
      <c r="C63" s="6" t="s">
        <v>230</v>
      </c>
      <c r="D63" s="7" t="s">
        <v>0</v>
      </c>
      <c r="E63" s="7">
        <v>1000</v>
      </c>
      <c r="F63" s="22">
        <v>2</v>
      </c>
      <c r="G63" s="23">
        <v>4</v>
      </c>
      <c r="H63" s="22">
        <v>4</v>
      </c>
      <c r="I63" s="23"/>
      <c r="J63" s="23">
        <v>3</v>
      </c>
      <c r="K63" s="22"/>
      <c r="L63" s="22"/>
      <c r="M63" s="23"/>
      <c r="N63" s="22"/>
      <c r="O63" s="33">
        <v>1</v>
      </c>
      <c r="P63" s="34">
        <v>1</v>
      </c>
      <c r="Q63" s="34">
        <v>3</v>
      </c>
      <c r="R63" s="34"/>
      <c r="S63" s="34"/>
      <c r="T63" s="35">
        <v>1</v>
      </c>
      <c r="U63" s="28">
        <v>16</v>
      </c>
      <c r="V63" s="28">
        <v>1</v>
      </c>
      <c r="W63" s="28"/>
      <c r="X63" s="28"/>
      <c r="Y63" s="28"/>
      <c r="Z63" s="9"/>
      <c r="AA63" s="9"/>
      <c r="AB63" s="9"/>
      <c r="AC63" s="9"/>
      <c r="AD63" s="9"/>
      <c r="AE63" s="9"/>
      <c r="AF63" s="9"/>
      <c r="AG63" s="9"/>
      <c r="AH63" s="7">
        <v>0</v>
      </c>
      <c r="AI63" s="7">
        <v>0</v>
      </c>
      <c r="AJ63" s="17">
        <v>0</v>
      </c>
      <c r="AK63" s="17">
        <v>0</v>
      </c>
      <c r="AL63" s="17">
        <v>4</v>
      </c>
      <c r="AM63" s="7">
        <v>1987</v>
      </c>
      <c r="AN63" s="66" t="s">
        <v>408</v>
      </c>
      <c r="AO63" s="7">
        <v>1400</v>
      </c>
      <c r="AP63" s="73">
        <v>427</v>
      </c>
      <c r="AQ63" s="40">
        <v>350</v>
      </c>
      <c r="AR63" s="255">
        <f>AO63-AP63-AQ63</f>
        <v>623</v>
      </c>
      <c r="AS63" s="6"/>
      <c r="AT63" s="112"/>
    </row>
    <row r="64" spans="1:46" s="169" customFormat="1" ht="31.5" customHeight="1">
      <c r="A64" s="164" t="s">
        <v>309</v>
      </c>
      <c r="B64" s="165" t="s">
        <v>23</v>
      </c>
      <c r="C64" s="166" t="s">
        <v>230</v>
      </c>
      <c r="D64" s="191"/>
      <c r="E64" s="168">
        <v>25</v>
      </c>
      <c r="F64" s="168">
        <v>2</v>
      </c>
      <c r="G64" s="168">
        <v>20</v>
      </c>
      <c r="H64" s="168">
        <v>20</v>
      </c>
      <c r="I64" s="168">
        <v>13</v>
      </c>
      <c r="J64" s="168">
        <v>10</v>
      </c>
      <c r="K64" s="168">
        <v>13</v>
      </c>
      <c r="L64" s="168"/>
      <c r="M64" s="168"/>
      <c r="N64" s="168"/>
      <c r="O64" s="168">
        <v>34</v>
      </c>
      <c r="P64" s="168">
        <v>34</v>
      </c>
      <c r="Q64" s="168"/>
      <c r="R64" s="168"/>
      <c r="S64" s="168"/>
      <c r="T64" s="182">
        <v>12</v>
      </c>
      <c r="U64" s="165">
        <v>19</v>
      </c>
      <c r="V64" s="165">
        <v>2</v>
      </c>
      <c r="W64" s="165"/>
      <c r="X64" s="165">
        <v>57</v>
      </c>
      <c r="Y64" s="165">
        <v>1</v>
      </c>
      <c r="Z64" s="165"/>
      <c r="AA64" s="165"/>
      <c r="AB64" s="165"/>
      <c r="AC64" s="165"/>
      <c r="AD64" s="165"/>
      <c r="AE64" s="165"/>
      <c r="AF64" s="165"/>
      <c r="AG64" s="165"/>
      <c r="AH64" s="168">
        <v>0</v>
      </c>
      <c r="AI64" s="168">
        <v>0</v>
      </c>
      <c r="AJ64" s="168">
        <v>2</v>
      </c>
      <c r="AK64" s="168">
        <v>15</v>
      </c>
      <c r="AL64" s="168">
        <v>0</v>
      </c>
      <c r="AM64" s="167">
        <v>1997</v>
      </c>
      <c r="AN64" s="168" t="s">
        <v>14</v>
      </c>
      <c r="AO64" s="178">
        <f>SUM(AO65:AO69)</f>
        <v>4928</v>
      </c>
      <c r="AP64" s="175">
        <f>SUM(AP65:AP69)+250</f>
        <v>1718</v>
      </c>
      <c r="AQ64" s="165">
        <f>SUM(AQ65:AQ69)+700+225+1894</f>
        <v>3922.76</v>
      </c>
      <c r="AR64" s="260">
        <f>AO64-AP64-AQ64</f>
        <v>-712.7600000000002</v>
      </c>
      <c r="AS64" s="166"/>
      <c r="AT64" s="116"/>
    </row>
    <row r="65" spans="1:46" ht="27.75" customHeight="1">
      <c r="A65" s="41" t="s">
        <v>331</v>
      </c>
      <c r="B65" s="8" t="s">
        <v>37</v>
      </c>
      <c r="C65" s="6" t="s">
        <v>230</v>
      </c>
      <c r="D65" s="7" t="s">
        <v>0</v>
      </c>
      <c r="E65" s="7">
        <v>630</v>
      </c>
      <c r="F65" s="17">
        <v>2</v>
      </c>
      <c r="G65" s="19">
        <v>8</v>
      </c>
      <c r="H65" s="17">
        <v>8</v>
      </c>
      <c r="I65" s="19"/>
      <c r="J65" s="19">
        <v>6</v>
      </c>
      <c r="K65" s="17"/>
      <c r="L65" s="17"/>
      <c r="M65" s="19"/>
      <c r="N65" s="17"/>
      <c r="O65" s="20">
        <v>6</v>
      </c>
      <c r="P65" s="7">
        <v>6</v>
      </c>
      <c r="Q65" s="7">
        <v>2</v>
      </c>
      <c r="R65" s="7"/>
      <c r="S65" s="7"/>
      <c r="T65" s="14"/>
      <c r="U65" s="9">
        <v>30</v>
      </c>
      <c r="V65" s="9">
        <v>2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>
        <v>0</v>
      </c>
      <c r="AI65" s="7">
        <v>0</v>
      </c>
      <c r="AJ65" s="17">
        <v>0</v>
      </c>
      <c r="AK65" s="17">
        <v>0</v>
      </c>
      <c r="AL65" s="17">
        <v>2</v>
      </c>
      <c r="AM65" s="7">
        <v>1990</v>
      </c>
      <c r="AN65" s="8" t="s">
        <v>38</v>
      </c>
      <c r="AO65" s="7">
        <v>882</v>
      </c>
      <c r="AP65" s="72">
        <v>197</v>
      </c>
      <c r="AQ65" s="8">
        <f>90+1.03-1.03</f>
        <v>90</v>
      </c>
      <c r="AR65" s="255">
        <f>882-370-90-60-60-60-100-40</f>
        <v>102</v>
      </c>
      <c r="AS65" s="6"/>
      <c r="AT65" s="112"/>
    </row>
    <row r="66" spans="1:45" ht="27.75" customHeight="1">
      <c r="A66" s="41" t="s">
        <v>332</v>
      </c>
      <c r="B66" s="8" t="s">
        <v>47</v>
      </c>
      <c r="C66" s="6" t="s">
        <v>230</v>
      </c>
      <c r="D66" s="7" t="s">
        <v>3</v>
      </c>
      <c r="E66" s="7">
        <v>630</v>
      </c>
      <c r="F66" s="17">
        <v>2</v>
      </c>
      <c r="G66" s="19">
        <v>9</v>
      </c>
      <c r="H66" s="17">
        <v>9</v>
      </c>
      <c r="I66" s="19"/>
      <c r="J66" s="19">
        <v>8</v>
      </c>
      <c r="K66" s="17"/>
      <c r="L66" s="17"/>
      <c r="M66" s="19"/>
      <c r="N66" s="17"/>
      <c r="O66" s="20">
        <v>8</v>
      </c>
      <c r="P66" s="7">
        <v>8</v>
      </c>
      <c r="Q66" s="7">
        <v>3</v>
      </c>
      <c r="R66" s="7"/>
      <c r="S66" s="7"/>
      <c r="T66" s="14"/>
      <c r="U66" s="9">
        <v>21</v>
      </c>
      <c r="V66" s="9">
        <v>2</v>
      </c>
      <c r="W66" s="9"/>
      <c r="X66" s="9"/>
      <c r="Y66" s="9">
        <v>1</v>
      </c>
      <c r="Z66" s="9"/>
      <c r="AA66" s="9"/>
      <c r="AB66" s="9"/>
      <c r="AC66" s="9"/>
      <c r="AD66" s="9"/>
      <c r="AE66" s="9"/>
      <c r="AF66" s="9"/>
      <c r="AG66" s="9"/>
      <c r="AH66" s="7">
        <v>0</v>
      </c>
      <c r="AI66" s="7">
        <v>0</v>
      </c>
      <c r="AJ66" s="17">
        <v>0</v>
      </c>
      <c r="AK66" s="17">
        <v>0</v>
      </c>
      <c r="AL66" s="17">
        <v>2</v>
      </c>
      <c r="AM66" s="7">
        <v>2000</v>
      </c>
      <c r="AN66" s="8" t="s">
        <v>48</v>
      </c>
      <c r="AO66" s="7">
        <v>882</v>
      </c>
      <c r="AP66" s="72">
        <v>614</v>
      </c>
      <c r="AQ66" s="8">
        <v>0</v>
      </c>
      <c r="AR66" s="255">
        <f>AO66-AP66-180</f>
        <v>88</v>
      </c>
      <c r="AS66" s="6"/>
    </row>
    <row r="67" spans="1:46" ht="34.5" customHeight="1">
      <c r="A67" s="41" t="s">
        <v>333</v>
      </c>
      <c r="B67" s="8" t="s">
        <v>49</v>
      </c>
      <c r="C67" s="6" t="s">
        <v>189</v>
      </c>
      <c r="D67" s="7" t="s">
        <v>0</v>
      </c>
      <c r="E67" s="7">
        <v>630</v>
      </c>
      <c r="F67" s="17">
        <v>2</v>
      </c>
      <c r="G67" s="19"/>
      <c r="H67" s="17"/>
      <c r="I67" s="19"/>
      <c r="J67" s="19">
        <v>2</v>
      </c>
      <c r="K67" s="17"/>
      <c r="L67" s="17"/>
      <c r="M67" s="19"/>
      <c r="N67" s="17"/>
      <c r="O67" s="19"/>
      <c r="P67" s="17"/>
      <c r="Q67" s="17"/>
      <c r="R67" s="17"/>
      <c r="S67" s="17"/>
      <c r="T67" s="14">
        <v>5</v>
      </c>
      <c r="U67" s="9">
        <v>30</v>
      </c>
      <c r="V67" s="9">
        <v>2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>
        <v>0</v>
      </c>
      <c r="AI67" s="7">
        <v>0</v>
      </c>
      <c r="AJ67" s="17">
        <v>0</v>
      </c>
      <c r="AK67" s="17">
        <v>0</v>
      </c>
      <c r="AL67" s="17">
        <v>2</v>
      </c>
      <c r="AM67" s="7">
        <v>2000</v>
      </c>
      <c r="AN67" s="8" t="s">
        <v>50</v>
      </c>
      <c r="AO67" s="7">
        <v>882</v>
      </c>
      <c r="AP67" s="72">
        <v>263</v>
      </c>
      <c r="AQ67" s="8">
        <f>11.06+10+5+15-5+80+140-80</f>
        <v>176.06</v>
      </c>
      <c r="AR67" s="255">
        <f>AO67-AP67-AQ67</f>
        <v>442.94</v>
      </c>
      <c r="AS67" s="6"/>
      <c r="AT67" s="112"/>
    </row>
    <row r="68" spans="1:46" ht="42.75" customHeight="1">
      <c r="A68" s="41" t="s">
        <v>334</v>
      </c>
      <c r="B68" s="8" t="s">
        <v>539</v>
      </c>
      <c r="C68" s="6" t="s">
        <v>292</v>
      </c>
      <c r="D68" s="7"/>
      <c r="E68" s="7">
        <v>1000</v>
      </c>
      <c r="F68" s="17">
        <v>2</v>
      </c>
      <c r="G68" s="19"/>
      <c r="H68" s="17"/>
      <c r="I68" s="19"/>
      <c r="J68" s="19"/>
      <c r="K68" s="17"/>
      <c r="L68" s="17"/>
      <c r="M68" s="19"/>
      <c r="N68" s="17"/>
      <c r="O68" s="19"/>
      <c r="P68" s="17"/>
      <c r="Q68" s="17"/>
      <c r="R68" s="17"/>
      <c r="S68" s="17"/>
      <c r="T68" s="14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17"/>
      <c r="AK68" s="17"/>
      <c r="AL68" s="17"/>
      <c r="AM68" s="7">
        <v>2010</v>
      </c>
      <c r="AN68" s="8" t="s">
        <v>45</v>
      </c>
      <c r="AO68" s="7">
        <v>1400</v>
      </c>
      <c r="AP68" s="72">
        <v>197</v>
      </c>
      <c r="AQ68" s="8">
        <f>711+466.7-43-668</f>
        <v>466.70000000000005</v>
      </c>
      <c r="AR68" s="255">
        <f>AO68-AP68-AQ68</f>
        <v>736.3</v>
      </c>
      <c r="AS68" s="6"/>
      <c r="AT68" s="112"/>
    </row>
    <row r="69" spans="1:46" ht="34.5" customHeight="1">
      <c r="A69" s="100" t="s">
        <v>357</v>
      </c>
      <c r="B69" s="8" t="s">
        <v>540</v>
      </c>
      <c r="C69" s="6" t="s">
        <v>292</v>
      </c>
      <c r="D69" s="7"/>
      <c r="E69" s="7">
        <v>630</v>
      </c>
      <c r="F69" s="17">
        <v>2</v>
      </c>
      <c r="G69" s="19"/>
      <c r="H69" s="17"/>
      <c r="I69" s="19"/>
      <c r="J69" s="19"/>
      <c r="K69" s="17"/>
      <c r="L69" s="17"/>
      <c r="M69" s="19"/>
      <c r="N69" s="17"/>
      <c r="O69" s="19"/>
      <c r="P69" s="17"/>
      <c r="Q69" s="17"/>
      <c r="R69" s="17"/>
      <c r="S69" s="17"/>
      <c r="T69" s="14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17"/>
      <c r="AK69" s="17"/>
      <c r="AL69" s="17"/>
      <c r="AM69" s="7"/>
      <c r="AN69" s="8" t="s">
        <v>45</v>
      </c>
      <c r="AO69" s="7">
        <v>882</v>
      </c>
      <c r="AP69" s="72">
        <v>197</v>
      </c>
      <c r="AQ69" s="8">
        <f>135+135+50+1+385-150-135-50</f>
        <v>371</v>
      </c>
      <c r="AR69" s="255">
        <f>AO69-AP69-AQ69</f>
        <v>314</v>
      </c>
      <c r="AS69" s="6"/>
      <c r="AT69" s="112"/>
    </row>
    <row r="70" spans="1:46" s="169" customFormat="1" ht="16.5" customHeight="1">
      <c r="A70" s="283" t="s">
        <v>310</v>
      </c>
      <c r="B70" s="290" t="s">
        <v>17</v>
      </c>
      <c r="C70" s="166" t="s">
        <v>236</v>
      </c>
      <c r="D70" s="202" t="s">
        <v>190</v>
      </c>
      <c r="E70" s="168">
        <v>16000</v>
      </c>
      <c r="F70" s="168">
        <v>2</v>
      </c>
      <c r="G70" s="168" t="s">
        <v>237</v>
      </c>
      <c r="H70" s="168" t="s">
        <v>237</v>
      </c>
      <c r="I70" s="168" t="s">
        <v>237</v>
      </c>
      <c r="J70" s="168">
        <v>3</v>
      </c>
      <c r="K70" s="168" t="s">
        <v>237</v>
      </c>
      <c r="L70" s="168">
        <v>3</v>
      </c>
      <c r="M70" s="168" t="s">
        <v>237</v>
      </c>
      <c r="N70" s="168" t="s">
        <v>237</v>
      </c>
      <c r="O70" s="168">
        <v>16</v>
      </c>
      <c r="P70" s="168">
        <v>16</v>
      </c>
      <c r="Q70" s="168" t="s">
        <v>237</v>
      </c>
      <c r="R70" s="168" t="s">
        <v>237</v>
      </c>
      <c r="S70" s="168">
        <v>6</v>
      </c>
      <c r="T70" s="165"/>
      <c r="U70" s="165">
        <v>2</v>
      </c>
      <c r="V70" s="165">
        <v>2</v>
      </c>
      <c r="W70" s="165">
        <v>2</v>
      </c>
      <c r="X70" s="165">
        <v>6</v>
      </c>
      <c r="Y70" s="165"/>
      <c r="Z70" s="165"/>
      <c r="AA70" s="165"/>
      <c r="AB70" s="165"/>
      <c r="AC70" s="165"/>
      <c r="AD70" s="165"/>
      <c r="AE70" s="165"/>
      <c r="AF70" s="165"/>
      <c r="AG70" s="165"/>
      <c r="AH70" s="168">
        <v>2</v>
      </c>
      <c r="AI70" s="168">
        <v>4</v>
      </c>
      <c r="AJ70" s="168">
        <v>2</v>
      </c>
      <c r="AK70" s="168">
        <v>4</v>
      </c>
      <c r="AL70" s="168">
        <v>0</v>
      </c>
      <c r="AM70" s="167"/>
      <c r="AN70" s="285" t="s">
        <v>16</v>
      </c>
      <c r="AO70" s="203">
        <v>15094</v>
      </c>
      <c r="AP70" s="291"/>
      <c r="AQ70" s="293"/>
      <c r="AR70" s="295"/>
      <c r="AS70" s="297"/>
      <c r="AT70" s="116"/>
    </row>
    <row r="71" spans="1:46" s="169" customFormat="1" ht="15" customHeight="1">
      <c r="A71" s="284"/>
      <c r="B71" s="290"/>
      <c r="C71" s="166" t="s">
        <v>265</v>
      </c>
      <c r="D71" s="166" t="s">
        <v>238</v>
      </c>
      <c r="E71" s="168">
        <v>400</v>
      </c>
      <c r="F71" s="168">
        <v>2</v>
      </c>
      <c r="G71" s="168">
        <v>59</v>
      </c>
      <c r="H71" s="168">
        <v>59</v>
      </c>
      <c r="I71" s="168" t="s">
        <v>237</v>
      </c>
      <c r="J71" s="168">
        <v>42</v>
      </c>
      <c r="K71" s="168" t="s">
        <v>237</v>
      </c>
      <c r="L71" s="168" t="s">
        <v>237</v>
      </c>
      <c r="M71" s="168">
        <v>49</v>
      </c>
      <c r="N71" s="168">
        <v>49</v>
      </c>
      <c r="O71" s="168" t="s">
        <v>237</v>
      </c>
      <c r="P71" s="168" t="s">
        <v>237</v>
      </c>
      <c r="Q71" s="168" t="s">
        <v>237</v>
      </c>
      <c r="R71" s="168" t="s">
        <v>237</v>
      </c>
      <c r="S71" s="168">
        <v>72</v>
      </c>
      <c r="T71" s="165"/>
      <c r="U71" s="165">
        <v>4</v>
      </c>
      <c r="V71" s="165">
        <v>4</v>
      </c>
      <c r="W71" s="165">
        <v>4</v>
      </c>
      <c r="X71" s="165">
        <v>57</v>
      </c>
      <c r="Y71" s="165">
        <v>1</v>
      </c>
      <c r="Z71" s="165"/>
      <c r="AA71" s="165"/>
      <c r="AB71" s="165"/>
      <c r="AC71" s="165"/>
      <c r="AD71" s="165"/>
      <c r="AE71" s="165"/>
      <c r="AF71" s="165"/>
      <c r="AG71" s="165"/>
      <c r="AH71" s="168">
        <v>0</v>
      </c>
      <c r="AI71" s="168">
        <v>28</v>
      </c>
      <c r="AJ71" s="168">
        <v>4</v>
      </c>
      <c r="AK71" s="168">
        <v>49</v>
      </c>
      <c r="AL71" s="168">
        <v>2</v>
      </c>
      <c r="AM71" s="166"/>
      <c r="AN71" s="286"/>
      <c r="AO71" s="168"/>
      <c r="AP71" s="292"/>
      <c r="AQ71" s="294"/>
      <c r="AR71" s="296"/>
      <c r="AS71" s="297"/>
      <c r="AT71" s="116"/>
    </row>
    <row r="72" spans="1:46" s="169" customFormat="1" ht="19.5" customHeight="1">
      <c r="A72" s="284"/>
      <c r="B72" s="290" t="s">
        <v>15</v>
      </c>
      <c r="C72" s="166" t="s">
        <v>223</v>
      </c>
      <c r="D72" s="191" t="s">
        <v>185</v>
      </c>
      <c r="E72" s="178">
        <v>6300</v>
      </c>
      <c r="F72" s="168">
        <v>2</v>
      </c>
      <c r="G72" s="166"/>
      <c r="H72" s="168"/>
      <c r="I72" s="168" t="s">
        <v>233</v>
      </c>
      <c r="J72" s="168">
        <v>2</v>
      </c>
      <c r="K72" s="168">
        <v>2</v>
      </c>
      <c r="L72" s="168"/>
      <c r="M72" s="168"/>
      <c r="N72" s="168"/>
      <c r="O72" s="168" t="s">
        <v>234</v>
      </c>
      <c r="P72" s="168">
        <v>4</v>
      </c>
      <c r="Q72" s="168"/>
      <c r="R72" s="168">
        <v>6</v>
      </c>
      <c r="S72" s="168"/>
      <c r="T72" s="182"/>
      <c r="U72" s="175">
        <v>2</v>
      </c>
      <c r="V72" s="165">
        <v>2</v>
      </c>
      <c r="W72" s="165">
        <v>2</v>
      </c>
      <c r="X72" s="165">
        <v>6</v>
      </c>
      <c r="Y72" s="165"/>
      <c r="Z72" s="165"/>
      <c r="AA72" s="165"/>
      <c r="AB72" s="165"/>
      <c r="AC72" s="165"/>
      <c r="AD72" s="165"/>
      <c r="AE72" s="165"/>
      <c r="AF72" s="165"/>
      <c r="AG72" s="165"/>
      <c r="AH72" s="168">
        <v>2</v>
      </c>
      <c r="AI72" s="168">
        <v>0</v>
      </c>
      <c r="AJ72" s="168">
        <v>0</v>
      </c>
      <c r="AK72" s="168">
        <v>2</v>
      </c>
      <c r="AL72" s="168">
        <v>0</v>
      </c>
      <c r="AM72" s="395">
        <v>1981</v>
      </c>
      <c r="AN72" s="286"/>
      <c r="AO72" s="394">
        <f>SUM(AO74:AO78)</f>
        <v>1393</v>
      </c>
      <c r="AP72" s="394">
        <f>SUM(AP74:AP78)+200+150</f>
        <v>915.7</v>
      </c>
      <c r="AQ72" s="394">
        <f>SUM(AQ74:AQ78)+200-200+150-150</f>
        <v>585</v>
      </c>
      <c r="AR72" s="392">
        <f>AO72-AP72-AQ72</f>
        <v>-107.70000000000005</v>
      </c>
      <c r="AS72" s="297"/>
      <c r="AT72" s="116"/>
    </row>
    <row r="73" spans="1:46" s="169" customFormat="1" ht="14.25" customHeight="1">
      <c r="A73" s="284"/>
      <c r="B73" s="290"/>
      <c r="C73" s="166" t="s">
        <v>265</v>
      </c>
      <c r="D73" s="191" t="s">
        <v>0</v>
      </c>
      <c r="E73" s="178">
        <v>63</v>
      </c>
      <c r="F73" s="168">
        <v>2</v>
      </c>
      <c r="G73" s="168" t="s">
        <v>235</v>
      </c>
      <c r="H73" s="168">
        <v>26</v>
      </c>
      <c r="I73" s="168"/>
      <c r="J73" s="168">
        <v>14</v>
      </c>
      <c r="K73" s="168">
        <v>21</v>
      </c>
      <c r="L73" s="168"/>
      <c r="M73" s="168"/>
      <c r="N73" s="168"/>
      <c r="O73" s="168"/>
      <c r="P73" s="168">
        <v>3</v>
      </c>
      <c r="Q73" s="168"/>
      <c r="R73" s="168"/>
      <c r="S73" s="168"/>
      <c r="T73" s="182">
        <v>24</v>
      </c>
      <c r="U73" s="204">
        <v>27</v>
      </c>
      <c r="V73" s="165">
        <v>4</v>
      </c>
      <c r="W73" s="165">
        <v>2</v>
      </c>
      <c r="X73" s="165">
        <v>75</v>
      </c>
      <c r="Y73" s="165">
        <v>1</v>
      </c>
      <c r="Z73" s="165"/>
      <c r="AA73" s="165"/>
      <c r="AB73" s="165"/>
      <c r="AC73" s="165"/>
      <c r="AD73" s="165"/>
      <c r="AE73" s="165"/>
      <c r="AF73" s="165"/>
      <c r="AG73" s="165"/>
      <c r="AH73" s="168">
        <v>2</v>
      </c>
      <c r="AI73" s="168">
        <v>0</v>
      </c>
      <c r="AJ73" s="168">
        <v>2</v>
      </c>
      <c r="AK73" s="168">
        <v>20</v>
      </c>
      <c r="AL73" s="168">
        <v>0</v>
      </c>
      <c r="AM73" s="395"/>
      <c r="AN73" s="287"/>
      <c r="AO73" s="394"/>
      <c r="AP73" s="394"/>
      <c r="AQ73" s="394"/>
      <c r="AR73" s="393"/>
      <c r="AS73" s="297"/>
      <c r="AT73" s="116"/>
    </row>
    <row r="74" spans="1:45" ht="24.75" customHeight="1">
      <c r="A74" s="241" t="s">
        <v>571</v>
      </c>
      <c r="B74" s="241" t="s">
        <v>52</v>
      </c>
      <c r="C74" s="242" t="s">
        <v>37</v>
      </c>
      <c r="D74" s="243" t="s">
        <v>0</v>
      </c>
      <c r="E74" s="243" t="s">
        <v>406</v>
      </c>
      <c r="F74" s="244">
        <v>1</v>
      </c>
      <c r="G74" s="244" t="s">
        <v>237</v>
      </c>
      <c r="H74" s="244" t="s">
        <v>237</v>
      </c>
      <c r="I74" s="244" t="s">
        <v>237</v>
      </c>
      <c r="J74" s="245">
        <v>1</v>
      </c>
      <c r="K74" s="244" t="s">
        <v>237</v>
      </c>
      <c r="L74" s="244" t="s">
        <v>237</v>
      </c>
      <c r="M74" s="244" t="s">
        <v>237</v>
      </c>
      <c r="N74" s="244" t="s">
        <v>237</v>
      </c>
      <c r="O74" s="246" t="s">
        <v>237</v>
      </c>
      <c r="P74" s="244">
        <v>1</v>
      </c>
      <c r="Q74" s="246" t="s">
        <v>237</v>
      </c>
      <c r="R74" s="247">
        <v>3</v>
      </c>
      <c r="S74" s="246" t="s">
        <v>237</v>
      </c>
      <c r="T74" s="248">
        <v>1</v>
      </c>
      <c r="U74" s="248">
        <v>7</v>
      </c>
      <c r="V74" s="248">
        <v>1</v>
      </c>
      <c r="W74" s="248"/>
      <c r="X74" s="248"/>
      <c r="Y74" s="248"/>
      <c r="Z74" s="249"/>
      <c r="AA74" s="249"/>
      <c r="AB74" s="249"/>
      <c r="AC74" s="249"/>
      <c r="AD74" s="249"/>
      <c r="AE74" s="249"/>
      <c r="AF74" s="249"/>
      <c r="AG74" s="249"/>
      <c r="AH74" s="250">
        <v>1</v>
      </c>
      <c r="AI74" s="250">
        <v>0</v>
      </c>
      <c r="AJ74" s="251">
        <v>0</v>
      </c>
      <c r="AK74" s="251">
        <v>0</v>
      </c>
      <c r="AL74" s="250">
        <v>1</v>
      </c>
      <c r="AM74" s="252"/>
      <c r="AN74" s="308" t="s">
        <v>16</v>
      </c>
      <c r="AO74" s="253">
        <v>112</v>
      </c>
      <c r="AP74" s="250">
        <v>44.7</v>
      </c>
      <c r="AQ74" s="250">
        <v>0</v>
      </c>
      <c r="AR74" s="261">
        <f aca="true" t="shared" si="4" ref="AR74:AR83">AO74-AP74-AQ74</f>
        <v>67.3</v>
      </c>
      <c r="AS74" s="252"/>
    </row>
    <row r="75" spans="1:46" ht="24.75" customHeight="1">
      <c r="A75" s="41" t="s">
        <v>281</v>
      </c>
      <c r="B75" s="41" t="s">
        <v>95</v>
      </c>
      <c r="C75" s="42" t="s">
        <v>53</v>
      </c>
      <c r="D75" s="21" t="s">
        <v>4</v>
      </c>
      <c r="E75" s="21">
        <v>400</v>
      </c>
      <c r="F75" s="22">
        <v>1</v>
      </c>
      <c r="G75" s="23" t="s">
        <v>237</v>
      </c>
      <c r="H75" s="22" t="s">
        <v>237</v>
      </c>
      <c r="I75" s="23" t="s">
        <v>237</v>
      </c>
      <c r="J75" s="24">
        <v>1</v>
      </c>
      <c r="K75" s="22" t="s">
        <v>237</v>
      </c>
      <c r="L75" s="22" t="s">
        <v>237</v>
      </c>
      <c r="M75" s="23" t="s">
        <v>237</v>
      </c>
      <c r="N75" s="22" t="s">
        <v>237</v>
      </c>
      <c r="O75" s="25" t="s">
        <v>237</v>
      </c>
      <c r="P75" s="22">
        <v>1</v>
      </c>
      <c r="Q75" s="26" t="s">
        <v>237</v>
      </c>
      <c r="R75" s="27">
        <v>3</v>
      </c>
      <c r="S75" s="26" t="s">
        <v>237</v>
      </c>
      <c r="T75" s="28">
        <v>6</v>
      </c>
      <c r="U75" s="28">
        <v>8</v>
      </c>
      <c r="V75" s="28">
        <v>1</v>
      </c>
      <c r="W75" s="28"/>
      <c r="X75" s="28"/>
      <c r="Y75" s="28"/>
      <c r="Z75" s="9"/>
      <c r="AA75" s="9"/>
      <c r="AB75" s="9"/>
      <c r="AC75" s="9"/>
      <c r="AD75" s="9"/>
      <c r="AE75" s="9"/>
      <c r="AF75" s="9"/>
      <c r="AG75" s="9"/>
      <c r="AH75" s="7">
        <v>1</v>
      </c>
      <c r="AI75" s="7">
        <v>0</v>
      </c>
      <c r="AJ75" s="17">
        <v>0</v>
      </c>
      <c r="AK75" s="17">
        <v>0</v>
      </c>
      <c r="AL75" s="17">
        <v>1</v>
      </c>
      <c r="AM75" s="6">
        <v>2004</v>
      </c>
      <c r="AN75" s="308"/>
      <c r="AO75" s="13">
        <v>280</v>
      </c>
      <c r="AP75" s="45">
        <v>198</v>
      </c>
      <c r="AQ75" s="39">
        <f>50+100+50+80+100</f>
        <v>380</v>
      </c>
      <c r="AR75" s="255">
        <f t="shared" si="4"/>
        <v>-298</v>
      </c>
      <c r="AS75" s="6"/>
      <c r="AT75" s="112"/>
    </row>
    <row r="76" spans="1:46" ht="23.25" customHeight="1">
      <c r="A76" s="84" t="s">
        <v>282</v>
      </c>
      <c r="B76" s="41" t="s">
        <v>96</v>
      </c>
      <c r="C76" s="42" t="s">
        <v>55</v>
      </c>
      <c r="D76" s="21" t="s">
        <v>0</v>
      </c>
      <c r="E76" s="21" t="s">
        <v>286</v>
      </c>
      <c r="F76" s="22">
        <v>1</v>
      </c>
      <c r="G76" s="23" t="s">
        <v>237</v>
      </c>
      <c r="H76" s="22" t="s">
        <v>237</v>
      </c>
      <c r="I76" s="23" t="s">
        <v>237</v>
      </c>
      <c r="J76" s="24">
        <v>1</v>
      </c>
      <c r="K76" s="22" t="s">
        <v>237</v>
      </c>
      <c r="L76" s="22" t="s">
        <v>237</v>
      </c>
      <c r="M76" s="23" t="s">
        <v>237</v>
      </c>
      <c r="N76" s="22" t="s">
        <v>237</v>
      </c>
      <c r="O76" s="25" t="s">
        <v>241</v>
      </c>
      <c r="P76" s="27">
        <v>1</v>
      </c>
      <c r="Q76" s="26" t="s">
        <v>237</v>
      </c>
      <c r="R76" s="27">
        <v>3</v>
      </c>
      <c r="S76" s="26" t="s">
        <v>237</v>
      </c>
      <c r="T76" s="28">
        <v>2</v>
      </c>
      <c r="U76" s="28">
        <v>5</v>
      </c>
      <c r="V76" s="28">
        <v>1</v>
      </c>
      <c r="W76" s="28"/>
      <c r="X76" s="28"/>
      <c r="Y76" s="28"/>
      <c r="Z76" s="9"/>
      <c r="AA76" s="9"/>
      <c r="AB76" s="9"/>
      <c r="AC76" s="9"/>
      <c r="AD76" s="9"/>
      <c r="AE76" s="9"/>
      <c r="AF76" s="9"/>
      <c r="AG76" s="9"/>
      <c r="AH76" s="7">
        <v>1</v>
      </c>
      <c r="AI76" s="7">
        <v>0</v>
      </c>
      <c r="AJ76" s="17">
        <v>0</v>
      </c>
      <c r="AK76" s="17">
        <v>0</v>
      </c>
      <c r="AL76" s="17">
        <v>1</v>
      </c>
      <c r="AM76" s="6">
        <v>2007</v>
      </c>
      <c r="AN76" s="308"/>
      <c r="AO76" s="13">
        <v>441</v>
      </c>
      <c r="AP76" s="45">
        <v>158</v>
      </c>
      <c r="AQ76" s="39">
        <v>100</v>
      </c>
      <c r="AR76" s="255">
        <f t="shared" si="4"/>
        <v>183</v>
      </c>
      <c r="AS76" s="6"/>
      <c r="AT76" s="112"/>
    </row>
    <row r="77" spans="1:46" ht="19.5" customHeight="1">
      <c r="A77" s="41" t="s">
        <v>349</v>
      </c>
      <c r="B77" s="41" t="s">
        <v>97</v>
      </c>
      <c r="C77" s="42" t="s">
        <v>98</v>
      </c>
      <c r="D77" s="21" t="s">
        <v>0</v>
      </c>
      <c r="E77" s="7">
        <v>400</v>
      </c>
      <c r="F77" s="22">
        <v>1</v>
      </c>
      <c r="G77" s="23" t="s">
        <v>237</v>
      </c>
      <c r="H77" s="22" t="s">
        <v>237</v>
      </c>
      <c r="I77" s="23" t="s">
        <v>237</v>
      </c>
      <c r="J77" s="24">
        <v>1</v>
      </c>
      <c r="K77" s="22" t="s">
        <v>237</v>
      </c>
      <c r="L77" s="22" t="s">
        <v>237</v>
      </c>
      <c r="M77" s="23" t="s">
        <v>237</v>
      </c>
      <c r="N77" s="22" t="s">
        <v>237</v>
      </c>
      <c r="O77" s="25" t="s">
        <v>241</v>
      </c>
      <c r="P77" s="27">
        <v>1</v>
      </c>
      <c r="Q77" s="26" t="s">
        <v>237</v>
      </c>
      <c r="R77" s="27">
        <v>3</v>
      </c>
      <c r="S77" s="26" t="s">
        <v>237</v>
      </c>
      <c r="T77" s="28">
        <v>5</v>
      </c>
      <c r="U77" s="28">
        <v>7</v>
      </c>
      <c r="V77" s="28">
        <v>1</v>
      </c>
      <c r="W77" s="28"/>
      <c r="X77" s="28"/>
      <c r="Y77" s="28"/>
      <c r="Z77" s="9"/>
      <c r="AA77" s="9"/>
      <c r="AB77" s="9"/>
      <c r="AC77" s="9"/>
      <c r="AD77" s="9"/>
      <c r="AE77" s="9"/>
      <c r="AF77" s="9"/>
      <c r="AG77" s="9"/>
      <c r="AH77" s="7">
        <v>0</v>
      </c>
      <c r="AI77" s="7">
        <v>0</v>
      </c>
      <c r="AJ77" s="17">
        <v>0</v>
      </c>
      <c r="AK77" s="17">
        <v>0</v>
      </c>
      <c r="AL77" s="17">
        <v>1</v>
      </c>
      <c r="AM77" s="15"/>
      <c r="AN77" s="308"/>
      <c r="AO77" s="13">
        <v>280</v>
      </c>
      <c r="AP77" s="45">
        <v>99</v>
      </c>
      <c r="AQ77" s="39">
        <v>80</v>
      </c>
      <c r="AR77" s="255">
        <f t="shared" si="4"/>
        <v>101</v>
      </c>
      <c r="AS77" s="6"/>
      <c r="AT77" s="112"/>
    </row>
    <row r="78" spans="1:46" ht="27.75" customHeight="1">
      <c r="A78" s="84" t="s">
        <v>424</v>
      </c>
      <c r="B78" s="41" t="s">
        <v>73</v>
      </c>
      <c r="C78" s="42" t="s">
        <v>99</v>
      </c>
      <c r="D78" s="21" t="s">
        <v>0</v>
      </c>
      <c r="E78" s="21" t="s">
        <v>262</v>
      </c>
      <c r="F78" s="22">
        <v>1</v>
      </c>
      <c r="G78" s="23" t="s">
        <v>237</v>
      </c>
      <c r="H78" s="22" t="s">
        <v>237</v>
      </c>
      <c r="I78" s="23" t="s">
        <v>237</v>
      </c>
      <c r="J78" s="24">
        <v>1</v>
      </c>
      <c r="K78" s="22" t="s">
        <v>237</v>
      </c>
      <c r="L78" s="22" t="s">
        <v>237</v>
      </c>
      <c r="M78" s="23" t="s">
        <v>237</v>
      </c>
      <c r="N78" s="22" t="s">
        <v>237</v>
      </c>
      <c r="O78" s="25" t="s">
        <v>241</v>
      </c>
      <c r="P78" s="27">
        <v>1</v>
      </c>
      <c r="Q78" s="26" t="s">
        <v>237</v>
      </c>
      <c r="R78" s="27">
        <v>3</v>
      </c>
      <c r="S78" s="26" t="s">
        <v>237</v>
      </c>
      <c r="T78" s="28">
        <v>4</v>
      </c>
      <c r="U78" s="28">
        <v>4</v>
      </c>
      <c r="V78" s="28">
        <v>1</v>
      </c>
      <c r="W78" s="28"/>
      <c r="X78" s="28"/>
      <c r="Y78" s="28"/>
      <c r="Z78" s="9"/>
      <c r="AA78" s="9"/>
      <c r="AB78" s="9"/>
      <c r="AC78" s="9"/>
      <c r="AD78" s="9"/>
      <c r="AE78" s="9"/>
      <c r="AF78" s="9"/>
      <c r="AG78" s="9"/>
      <c r="AH78" s="7">
        <v>1</v>
      </c>
      <c r="AI78" s="7">
        <v>0</v>
      </c>
      <c r="AJ78" s="17">
        <v>0</v>
      </c>
      <c r="AK78" s="17">
        <v>0</v>
      </c>
      <c r="AL78" s="17">
        <v>1</v>
      </c>
      <c r="AM78" s="6"/>
      <c r="AN78" s="309"/>
      <c r="AO78" s="13">
        <v>280</v>
      </c>
      <c r="AP78" s="45">
        <v>66</v>
      </c>
      <c r="AQ78" s="39">
        <v>25</v>
      </c>
      <c r="AR78" s="255">
        <f t="shared" si="4"/>
        <v>189</v>
      </c>
      <c r="AS78" s="6"/>
      <c r="AT78" s="112"/>
    </row>
    <row r="79" spans="1:46" s="169" customFormat="1" ht="39" customHeight="1">
      <c r="A79" s="164" t="s">
        <v>311</v>
      </c>
      <c r="B79" s="288" t="s">
        <v>449</v>
      </c>
      <c r="C79" s="289"/>
      <c r="D79" s="167"/>
      <c r="E79" s="167"/>
      <c r="F79" s="174">
        <v>2</v>
      </c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82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7"/>
      <c r="AI79" s="167"/>
      <c r="AJ79" s="174"/>
      <c r="AK79" s="174"/>
      <c r="AL79" s="174"/>
      <c r="AM79" s="167"/>
      <c r="AN79" s="168" t="s">
        <v>137</v>
      </c>
      <c r="AO79" s="182">
        <f>SUM(AO80:AO82)</f>
        <v>1948</v>
      </c>
      <c r="AP79" s="182">
        <f>SUM(AP80:AP82)</f>
        <v>381.57</v>
      </c>
      <c r="AQ79" s="182">
        <f>SUM(AQ80:AQ82)</f>
        <v>70</v>
      </c>
      <c r="AR79" s="260">
        <f>AO79-AP79-AQ79</f>
        <v>1496.43</v>
      </c>
      <c r="AS79" s="166"/>
      <c r="AT79" s="116"/>
    </row>
    <row r="80" spans="1:46" s="104" customFormat="1" ht="39" customHeight="1">
      <c r="A80" s="103" t="s">
        <v>312</v>
      </c>
      <c r="B80" s="46" t="s">
        <v>557</v>
      </c>
      <c r="C80" s="134"/>
      <c r="D80" s="7"/>
      <c r="E80" s="7">
        <v>630</v>
      </c>
      <c r="F80" s="17">
        <v>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4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7"/>
      <c r="AI80" s="7"/>
      <c r="AJ80" s="17"/>
      <c r="AK80" s="17"/>
      <c r="AL80" s="17"/>
      <c r="AM80" s="7"/>
      <c r="AN80" s="45" t="s">
        <v>450</v>
      </c>
      <c r="AO80" s="14">
        <v>504</v>
      </c>
      <c r="AP80" s="14">
        <v>361.57</v>
      </c>
      <c r="AQ80" s="14" t="s">
        <v>546</v>
      </c>
      <c r="AR80" s="255">
        <f>AO80-AP80-180</f>
        <v>-37.56999999999999</v>
      </c>
      <c r="AS80" s="15" t="s">
        <v>558</v>
      </c>
      <c r="AT80" s="240"/>
    </row>
    <row r="81" spans="1:46" s="104" customFormat="1" ht="39" customHeight="1">
      <c r="A81" s="103" t="s">
        <v>283</v>
      </c>
      <c r="B81" s="46" t="s">
        <v>556</v>
      </c>
      <c r="C81" s="15" t="s">
        <v>348</v>
      </c>
      <c r="D81" s="7"/>
      <c r="E81" s="7">
        <v>1000</v>
      </c>
      <c r="F81" s="17">
        <v>2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4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7"/>
      <c r="AI81" s="7"/>
      <c r="AJ81" s="17"/>
      <c r="AK81" s="17"/>
      <c r="AL81" s="17"/>
      <c r="AM81" s="7"/>
      <c r="AN81" s="45" t="s">
        <v>137</v>
      </c>
      <c r="AO81" s="14">
        <v>1400</v>
      </c>
      <c r="AP81" s="14" t="s">
        <v>356</v>
      </c>
      <c r="AQ81" s="14">
        <f>25+25+25+25+90+25+35-25-25-25+25-90-35-25+45-45+150-150</f>
        <v>50</v>
      </c>
      <c r="AR81" s="255" t="e">
        <f>AO81-AP81-180</f>
        <v>#VALUE!</v>
      </c>
      <c r="AS81" s="15" t="s">
        <v>558</v>
      </c>
      <c r="AT81" s="240"/>
    </row>
    <row r="82" spans="1:45" ht="41.25" customHeight="1">
      <c r="A82" s="47" t="s">
        <v>603</v>
      </c>
      <c r="B82" s="41" t="s">
        <v>547</v>
      </c>
      <c r="C82" s="42" t="s">
        <v>73</v>
      </c>
      <c r="D82" s="21" t="s">
        <v>0</v>
      </c>
      <c r="E82" s="21" t="s">
        <v>548</v>
      </c>
      <c r="F82" s="22">
        <v>1</v>
      </c>
      <c r="G82" s="23" t="s">
        <v>237</v>
      </c>
      <c r="H82" s="22" t="s">
        <v>237</v>
      </c>
      <c r="I82" s="23" t="s">
        <v>237</v>
      </c>
      <c r="J82" s="24">
        <v>1</v>
      </c>
      <c r="K82" s="22" t="s">
        <v>237</v>
      </c>
      <c r="L82" s="22" t="s">
        <v>237</v>
      </c>
      <c r="M82" s="23" t="s">
        <v>237</v>
      </c>
      <c r="N82" s="22" t="s">
        <v>237</v>
      </c>
      <c r="O82" s="25" t="s">
        <v>237</v>
      </c>
      <c r="P82" s="26" t="s">
        <v>237</v>
      </c>
      <c r="Q82" s="27">
        <v>1</v>
      </c>
      <c r="R82" s="26" t="s">
        <v>237</v>
      </c>
      <c r="S82" s="26" t="s">
        <v>237</v>
      </c>
      <c r="T82" s="28">
        <v>10</v>
      </c>
      <c r="U82" s="28">
        <v>7</v>
      </c>
      <c r="V82" s="28">
        <v>1</v>
      </c>
      <c r="W82" s="28"/>
      <c r="X82" s="28"/>
      <c r="Y82" s="28"/>
      <c r="Z82" s="9"/>
      <c r="AA82" s="9"/>
      <c r="AB82" s="9"/>
      <c r="AC82" s="9"/>
      <c r="AD82" s="9"/>
      <c r="AE82" s="9"/>
      <c r="AF82" s="9"/>
      <c r="AG82" s="9"/>
      <c r="AH82" s="7">
        <v>1</v>
      </c>
      <c r="AI82" s="7">
        <v>0</v>
      </c>
      <c r="AJ82" s="17">
        <v>0</v>
      </c>
      <c r="AK82" s="17">
        <v>0</v>
      </c>
      <c r="AL82" s="17">
        <v>1</v>
      </c>
      <c r="AM82" s="6"/>
      <c r="AN82" s="45" t="s">
        <v>137</v>
      </c>
      <c r="AO82" s="13">
        <v>44</v>
      </c>
      <c r="AP82" s="45">
        <v>20</v>
      </c>
      <c r="AQ82" s="8">
        <f>15+15-5-5</f>
        <v>20</v>
      </c>
      <c r="AR82" s="255">
        <f>AO82-AP82-AQ82</f>
        <v>4</v>
      </c>
      <c r="AS82" s="6">
        <v>2012</v>
      </c>
    </row>
    <row r="83" spans="1:46" s="169" customFormat="1" ht="45" customHeight="1">
      <c r="A83" s="164" t="s">
        <v>243</v>
      </c>
      <c r="B83" s="164" t="s">
        <v>601</v>
      </c>
      <c r="C83" s="186"/>
      <c r="D83" s="187"/>
      <c r="E83" s="187"/>
      <c r="F83" s="170"/>
      <c r="G83" s="170"/>
      <c r="H83" s="170"/>
      <c r="I83" s="170"/>
      <c r="J83" s="188"/>
      <c r="K83" s="170"/>
      <c r="L83" s="170"/>
      <c r="M83" s="170"/>
      <c r="N83" s="170"/>
      <c r="O83" s="177"/>
      <c r="P83" s="189"/>
      <c r="Q83" s="177"/>
      <c r="R83" s="189"/>
      <c r="S83" s="177"/>
      <c r="T83" s="173"/>
      <c r="U83" s="173"/>
      <c r="V83" s="173"/>
      <c r="W83" s="173"/>
      <c r="X83" s="173"/>
      <c r="Y83" s="173"/>
      <c r="Z83" s="165"/>
      <c r="AA83" s="165"/>
      <c r="AB83" s="165"/>
      <c r="AC83" s="165"/>
      <c r="AD83" s="165"/>
      <c r="AE83" s="165"/>
      <c r="AF83" s="165"/>
      <c r="AG83" s="165"/>
      <c r="AH83" s="167"/>
      <c r="AI83" s="167"/>
      <c r="AJ83" s="174"/>
      <c r="AK83" s="174"/>
      <c r="AL83" s="174"/>
      <c r="AM83" s="166"/>
      <c r="AN83" s="168"/>
      <c r="AO83" s="182">
        <v>170</v>
      </c>
      <c r="AP83" s="165">
        <f>AP84+AP85</f>
        <v>342</v>
      </c>
      <c r="AQ83" s="165">
        <f>195+100+40</f>
        <v>335</v>
      </c>
      <c r="AR83" s="260">
        <f t="shared" si="4"/>
        <v>-507</v>
      </c>
      <c r="AS83" s="166" t="s">
        <v>358</v>
      </c>
      <c r="AT83" s="116"/>
    </row>
    <row r="84" spans="1:46" ht="24.75" customHeight="1">
      <c r="A84" s="41" t="s">
        <v>448</v>
      </c>
      <c r="B84" s="41" t="s">
        <v>104</v>
      </c>
      <c r="C84" s="42" t="s">
        <v>105</v>
      </c>
      <c r="D84" s="21" t="s">
        <v>0</v>
      </c>
      <c r="E84" s="21">
        <v>400</v>
      </c>
      <c r="F84" s="22">
        <v>1</v>
      </c>
      <c r="G84" s="23" t="s">
        <v>237</v>
      </c>
      <c r="H84" s="22" t="s">
        <v>237</v>
      </c>
      <c r="I84" s="23" t="s">
        <v>237</v>
      </c>
      <c r="J84" s="24">
        <v>1</v>
      </c>
      <c r="K84" s="22" t="s">
        <v>237</v>
      </c>
      <c r="L84" s="22" t="s">
        <v>237</v>
      </c>
      <c r="M84" s="23" t="s">
        <v>237</v>
      </c>
      <c r="N84" s="22" t="s">
        <v>237</v>
      </c>
      <c r="O84" s="23" t="s">
        <v>237</v>
      </c>
      <c r="P84" s="22">
        <v>1</v>
      </c>
      <c r="Q84" s="22" t="s">
        <v>237</v>
      </c>
      <c r="R84" s="22" t="s">
        <v>237</v>
      </c>
      <c r="S84" s="22" t="s">
        <v>237</v>
      </c>
      <c r="T84" s="28">
        <v>1</v>
      </c>
      <c r="U84" s="28">
        <v>2</v>
      </c>
      <c r="V84" s="28">
        <v>1</v>
      </c>
      <c r="W84" s="28"/>
      <c r="X84" s="28"/>
      <c r="Y84" s="28"/>
      <c r="Z84" s="9"/>
      <c r="AA84" s="9"/>
      <c r="AB84" s="9"/>
      <c r="AC84" s="9"/>
      <c r="AD84" s="9"/>
      <c r="AE84" s="9"/>
      <c r="AF84" s="9"/>
      <c r="AG84" s="9"/>
      <c r="AH84" s="7">
        <v>1</v>
      </c>
      <c r="AI84" s="7">
        <v>0</v>
      </c>
      <c r="AJ84" s="17">
        <v>0</v>
      </c>
      <c r="AK84" s="17">
        <v>0</v>
      </c>
      <c r="AL84" s="17">
        <v>1</v>
      </c>
      <c r="AM84" s="6">
        <v>2008</v>
      </c>
      <c r="AN84" s="8" t="s">
        <v>106</v>
      </c>
      <c r="AO84" s="13">
        <v>280</v>
      </c>
      <c r="AP84" s="73">
        <v>112</v>
      </c>
      <c r="AQ84" s="8">
        <v>280</v>
      </c>
      <c r="AR84" s="255">
        <f>AO84-AP84</f>
        <v>168</v>
      </c>
      <c r="AS84" s="6"/>
      <c r="AT84" s="112"/>
    </row>
    <row r="85" spans="1:46" ht="21.75" customHeight="1">
      <c r="A85" s="41" t="s">
        <v>555</v>
      </c>
      <c r="B85" s="41" t="s">
        <v>107</v>
      </c>
      <c r="C85" s="42" t="s">
        <v>108</v>
      </c>
      <c r="D85" s="21" t="s">
        <v>0</v>
      </c>
      <c r="E85" s="21">
        <v>400</v>
      </c>
      <c r="F85" s="22">
        <v>1</v>
      </c>
      <c r="G85" s="23" t="s">
        <v>237</v>
      </c>
      <c r="H85" s="22" t="s">
        <v>237</v>
      </c>
      <c r="I85" s="23" t="s">
        <v>237</v>
      </c>
      <c r="J85" s="24">
        <v>1</v>
      </c>
      <c r="K85" s="22" t="s">
        <v>237</v>
      </c>
      <c r="L85" s="22" t="s">
        <v>237</v>
      </c>
      <c r="M85" s="23" t="s">
        <v>237</v>
      </c>
      <c r="N85" s="22" t="s">
        <v>237</v>
      </c>
      <c r="O85" s="23" t="s">
        <v>237</v>
      </c>
      <c r="P85" s="22">
        <v>1</v>
      </c>
      <c r="Q85" s="22" t="s">
        <v>237</v>
      </c>
      <c r="R85" s="22" t="s">
        <v>237</v>
      </c>
      <c r="S85" s="22" t="s">
        <v>237</v>
      </c>
      <c r="T85" s="28">
        <v>1</v>
      </c>
      <c r="U85" s="28">
        <v>2</v>
      </c>
      <c r="V85" s="28">
        <v>1</v>
      </c>
      <c r="W85" s="28"/>
      <c r="X85" s="28"/>
      <c r="Y85" s="28"/>
      <c r="Z85" s="9"/>
      <c r="AA85" s="9"/>
      <c r="AB85" s="9"/>
      <c r="AC85" s="9"/>
      <c r="AD85" s="9"/>
      <c r="AE85" s="9"/>
      <c r="AF85" s="9"/>
      <c r="AG85" s="9"/>
      <c r="AH85" s="7">
        <v>1</v>
      </c>
      <c r="AI85" s="7">
        <v>0</v>
      </c>
      <c r="AJ85" s="17">
        <v>0</v>
      </c>
      <c r="AK85" s="17">
        <v>0</v>
      </c>
      <c r="AL85" s="17">
        <v>1</v>
      </c>
      <c r="AM85" s="6">
        <v>2008</v>
      </c>
      <c r="AN85" s="8" t="s">
        <v>109</v>
      </c>
      <c r="AO85" s="13">
        <v>280</v>
      </c>
      <c r="AP85" s="73">
        <v>230</v>
      </c>
      <c r="AQ85" s="8">
        <f>15+20+8+50-50+100</f>
        <v>143</v>
      </c>
      <c r="AR85" s="255">
        <f>AO85-AP85-0</f>
        <v>50</v>
      </c>
      <c r="AS85" s="6"/>
      <c r="AT85" s="112"/>
    </row>
    <row r="86" spans="1:46" s="169" customFormat="1" ht="39" customHeight="1">
      <c r="A86" s="164" t="s">
        <v>581</v>
      </c>
      <c r="B86" s="288" t="s">
        <v>297</v>
      </c>
      <c r="C86" s="289"/>
      <c r="D86" s="167"/>
      <c r="E86" s="167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82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7"/>
      <c r="AI86" s="167"/>
      <c r="AJ86" s="174"/>
      <c r="AK86" s="174"/>
      <c r="AL86" s="174"/>
      <c r="AM86" s="167"/>
      <c r="AN86" s="168"/>
      <c r="AO86" s="182">
        <f>AO87+AO94+AO97+AO116+AO126+AO128</f>
        <v>11910</v>
      </c>
      <c r="AP86" s="182">
        <f>AP87+AP94+AP97+AP116+AP126+AP128</f>
        <v>15254.5</v>
      </c>
      <c r="AQ86" s="182">
        <f>AQ87+AQ94+AQ97+AQ116+AQ126+AQ128</f>
        <v>12990.8</v>
      </c>
      <c r="AR86" s="260">
        <f>AO86-AP86-AQ86</f>
        <v>-16335.3</v>
      </c>
      <c r="AS86" s="166"/>
      <c r="AT86" s="116"/>
    </row>
    <row r="87" spans="1:48" s="169" customFormat="1" ht="24.75" customHeight="1">
      <c r="A87" s="205" t="s">
        <v>247</v>
      </c>
      <c r="B87" s="299" t="s">
        <v>595</v>
      </c>
      <c r="C87" s="300"/>
      <c r="D87" s="187"/>
      <c r="E87" s="167"/>
      <c r="F87" s="170"/>
      <c r="G87" s="170"/>
      <c r="H87" s="170"/>
      <c r="I87" s="170"/>
      <c r="J87" s="188"/>
      <c r="K87" s="170"/>
      <c r="L87" s="170"/>
      <c r="M87" s="170"/>
      <c r="N87" s="170"/>
      <c r="O87" s="177"/>
      <c r="P87" s="189"/>
      <c r="Q87" s="177"/>
      <c r="R87" s="177"/>
      <c r="S87" s="177"/>
      <c r="T87" s="173"/>
      <c r="U87" s="173"/>
      <c r="V87" s="173"/>
      <c r="W87" s="173"/>
      <c r="X87" s="173"/>
      <c r="Y87" s="173"/>
      <c r="Z87" s="165"/>
      <c r="AA87" s="165"/>
      <c r="AB87" s="165"/>
      <c r="AC87" s="165"/>
      <c r="AD87" s="165"/>
      <c r="AE87" s="165"/>
      <c r="AF87" s="165"/>
      <c r="AG87" s="165"/>
      <c r="AH87" s="167"/>
      <c r="AI87" s="167"/>
      <c r="AJ87" s="174"/>
      <c r="AK87" s="174"/>
      <c r="AL87" s="174"/>
      <c r="AM87" s="166"/>
      <c r="AN87" s="168"/>
      <c r="AO87" s="166">
        <v>1000</v>
      </c>
      <c r="AP87" s="168">
        <f>SUM(AP88:AP93)</f>
        <v>1665</v>
      </c>
      <c r="AQ87" s="168">
        <f>SUM(AQ88:AQ93)</f>
        <v>939.8</v>
      </c>
      <c r="AR87" s="262">
        <f>AO87-AP87-AQ87</f>
        <v>-1604.8</v>
      </c>
      <c r="AS87" s="166"/>
      <c r="AT87" s="116"/>
      <c r="AV87" s="169" t="s">
        <v>356</v>
      </c>
    </row>
    <row r="88" spans="1:45" ht="24.75" customHeight="1">
      <c r="A88" s="47" t="s">
        <v>442</v>
      </c>
      <c r="B88" s="58" t="s">
        <v>339</v>
      </c>
      <c r="C88" s="58"/>
      <c r="D88" s="21"/>
      <c r="E88" s="7">
        <v>400</v>
      </c>
      <c r="F88" s="22"/>
      <c r="G88" s="22"/>
      <c r="H88" s="22"/>
      <c r="I88" s="22"/>
      <c r="J88" s="32"/>
      <c r="K88" s="22"/>
      <c r="L88" s="22"/>
      <c r="M88" s="22"/>
      <c r="N88" s="22"/>
      <c r="O88" s="30"/>
      <c r="P88" s="31"/>
      <c r="Q88" s="30"/>
      <c r="R88" s="30"/>
      <c r="S88" s="30"/>
      <c r="T88" s="29"/>
      <c r="U88" s="29"/>
      <c r="V88" s="29"/>
      <c r="W88" s="29"/>
      <c r="X88" s="29"/>
      <c r="Y88" s="29"/>
      <c r="Z88" s="46"/>
      <c r="AA88" s="46"/>
      <c r="AB88" s="46"/>
      <c r="AC88" s="46"/>
      <c r="AD88" s="46"/>
      <c r="AE88" s="46"/>
      <c r="AF88" s="46"/>
      <c r="AG88" s="46"/>
      <c r="AH88" s="7"/>
      <c r="AI88" s="7"/>
      <c r="AJ88" s="17"/>
      <c r="AK88" s="17"/>
      <c r="AL88" s="17"/>
      <c r="AM88" s="15"/>
      <c r="AN88" s="45"/>
      <c r="AO88" s="15">
        <v>280</v>
      </c>
      <c r="AP88" s="45">
        <v>0</v>
      </c>
      <c r="AQ88" s="45">
        <v>170</v>
      </c>
      <c r="AR88" s="257">
        <f>AO88-AP88-AQ88</f>
        <v>110</v>
      </c>
      <c r="AS88" s="15"/>
    </row>
    <row r="89" spans="1:46" ht="24.75" customHeight="1">
      <c r="A89" s="41" t="s">
        <v>443</v>
      </c>
      <c r="B89" s="83" t="s">
        <v>342</v>
      </c>
      <c r="C89" s="42" t="s">
        <v>51</v>
      </c>
      <c r="D89" s="21" t="s">
        <v>0</v>
      </c>
      <c r="E89" s="7">
        <v>630</v>
      </c>
      <c r="F89" s="22">
        <v>1</v>
      </c>
      <c r="G89" s="23" t="s">
        <v>237</v>
      </c>
      <c r="H89" s="22" t="s">
        <v>237</v>
      </c>
      <c r="I89" s="23" t="s">
        <v>237</v>
      </c>
      <c r="J89" s="24">
        <v>1</v>
      </c>
      <c r="K89" s="22" t="s">
        <v>237</v>
      </c>
      <c r="L89" s="22" t="s">
        <v>237</v>
      </c>
      <c r="M89" s="23" t="s">
        <v>237</v>
      </c>
      <c r="N89" s="22" t="s">
        <v>237</v>
      </c>
      <c r="O89" s="25" t="s">
        <v>241</v>
      </c>
      <c r="P89" s="27">
        <v>1</v>
      </c>
      <c r="Q89" s="26" t="s">
        <v>237</v>
      </c>
      <c r="R89" s="26" t="s">
        <v>237</v>
      </c>
      <c r="S89" s="26" t="s">
        <v>237</v>
      </c>
      <c r="T89" s="28">
        <v>6</v>
      </c>
      <c r="U89" s="28">
        <v>5</v>
      </c>
      <c r="V89" s="28">
        <v>1</v>
      </c>
      <c r="W89" s="28"/>
      <c r="X89" s="28"/>
      <c r="Y89" s="28"/>
      <c r="Z89" s="9"/>
      <c r="AA89" s="9"/>
      <c r="AB89" s="9"/>
      <c r="AC89" s="9"/>
      <c r="AD89" s="9"/>
      <c r="AE89" s="9"/>
      <c r="AF89" s="9"/>
      <c r="AG89" s="9"/>
      <c r="AH89" s="7">
        <v>0</v>
      </c>
      <c r="AI89" s="7">
        <v>0</v>
      </c>
      <c r="AJ89" s="17">
        <v>0</v>
      </c>
      <c r="AK89" s="17">
        <v>0</v>
      </c>
      <c r="AL89" s="17">
        <v>1</v>
      </c>
      <c r="AM89" s="6">
        <v>2007</v>
      </c>
      <c r="AN89" s="298" t="s">
        <v>87</v>
      </c>
      <c r="AO89" s="62">
        <v>441</v>
      </c>
      <c r="AP89" s="45">
        <f>263+7</f>
        <v>270</v>
      </c>
      <c r="AQ89" s="39">
        <f>290+15+7-7+6</f>
        <v>311</v>
      </c>
      <c r="AR89" s="263">
        <f>AO89-AP89</f>
        <v>171</v>
      </c>
      <c r="AS89" s="6" t="s">
        <v>264</v>
      </c>
      <c r="AT89" s="112"/>
    </row>
    <row r="90" spans="1:46" ht="24.75" customHeight="1">
      <c r="A90" s="41" t="s">
        <v>444</v>
      </c>
      <c r="B90" s="83" t="s">
        <v>341</v>
      </c>
      <c r="C90" s="42" t="s">
        <v>52</v>
      </c>
      <c r="D90" s="21" t="s">
        <v>0</v>
      </c>
      <c r="E90" s="7">
        <v>1000</v>
      </c>
      <c r="F90" s="22">
        <v>1</v>
      </c>
      <c r="G90" s="23" t="s">
        <v>237</v>
      </c>
      <c r="H90" s="22" t="s">
        <v>237</v>
      </c>
      <c r="I90" s="23" t="s">
        <v>237</v>
      </c>
      <c r="J90" s="24">
        <v>1</v>
      </c>
      <c r="K90" s="22" t="s">
        <v>237</v>
      </c>
      <c r="L90" s="22" t="s">
        <v>237</v>
      </c>
      <c r="M90" s="23" t="s">
        <v>237</v>
      </c>
      <c r="N90" s="22" t="s">
        <v>237</v>
      </c>
      <c r="O90" s="25" t="s">
        <v>237</v>
      </c>
      <c r="P90" s="22">
        <v>1</v>
      </c>
      <c r="Q90" s="26" t="s">
        <v>237</v>
      </c>
      <c r="R90" s="27">
        <v>3</v>
      </c>
      <c r="S90" s="26" t="s">
        <v>237</v>
      </c>
      <c r="T90" s="28">
        <v>1</v>
      </c>
      <c r="U90" s="28">
        <v>5</v>
      </c>
      <c r="V90" s="28">
        <v>1</v>
      </c>
      <c r="W90" s="28"/>
      <c r="X90" s="28"/>
      <c r="Y90" s="28"/>
      <c r="Z90" s="9"/>
      <c r="AA90" s="9"/>
      <c r="AB90" s="9"/>
      <c r="AC90" s="9"/>
      <c r="AD90" s="9"/>
      <c r="AE90" s="9"/>
      <c r="AF90" s="9"/>
      <c r="AG90" s="9"/>
      <c r="AH90" s="7">
        <v>1</v>
      </c>
      <c r="AI90" s="7">
        <v>0</v>
      </c>
      <c r="AJ90" s="17">
        <v>0</v>
      </c>
      <c r="AK90" s="17">
        <v>0</v>
      </c>
      <c r="AL90" s="17">
        <v>1</v>
      </c>
      <c r="AM90" s="6">
        <v>2006</v>
      </c>
      <c r="AN90" s="298"/>
      <c r="AO90" s="7">
        <v>700</v>
      </c>
      <c r="AP90" s="45">
        <f>394+5+15+15+20</f>
        <v>449</v>
      </c>
      <c r="AQ90" s="39">
        <f>15+10+10+15+30+10+8.8+10+15+15+15+15+15+15+15+15+15+15+15+15+15+15-15+20+20-20</f>
        <v>323.8</v>
      </c>
      <c r="AR90" s="255">
        <f>AO90-AP90-AQ90</f>
        <v>-72.80000000000001</v>
      </c>
      <c r="AS90" s="6" t="s">
        <v>264</v>
      </c>
      <c r="AT90" s="112"/>
    </row>
    <row r="91" spans="1:46" ht="24.75" customHeight="1">
      <c r="A91" s="41" t="s">
        <v>445</v>
      </c>
      <c r="B91" s="83" t="s">
        <v>340</v>
      </c>
      <c r="C91" s="42" t="s">
        <v>72</v>
      </c>
      <c r="D91" s="21" t="s">
        <v>0</v>
      </c>
      <c r="E91" s="7">
        <v>400</v>
      </c>
      <c r="F91" s="22">
        <v>1</v>
      </c>
      <c r="G91" s="23" t="s">
        <v>237</v>
      </c>
      <c r="H91" s="22" t="s">
        <v>237</v>
      </c>
      <c r="I91" s="23" t="s">
        <v>237</v>
      </c>
      <c r="J91" s="24">
        <v>1</v>
      </c>
      <c r="K91" s="22" t="s">
        <v>237</v>
      </c>
      <c r="L91" s="22" t="s">
        <v>237</v>
      </c>
      <c r="M91" s="23" t="s">
        <v>237</v>
      </c>
      <c r="N91" s="22" t="s">
        <v>237</v>
      </c>
      <c r="O91" s="25" t="s">
        <v>237</v>
      </c>
      <c r="P91" s="22">
        <v>1</v>
      </c>
      <c r="Q91" s="26" t="s">
        <v>237</v>
      </c>
      <c r="R91" s="27">
        <v>3</v>
      </c>
      <c r="S91" s="26" t="s">
        <v>237</v>
      </c>
      <c r="T91" s="28">
        <v>4</v>
      </c>
      <c r="U91" s="28">
        <v>5</v>
      </c>
      <c r="V91" s="28">
        <v>1</v>
      </c>
      <c r="W91" s="28"/>
      <c r="X91" s="28"/>
      <c r="Y91" s="28"/>
      <c r="Z91" s="9"/>
      <c r="AA91" s="9"/>
      <c r="AB91" s="9"/>
      <c r="AC91" s="9"/>
      <c r="AD91" s="9"/>
      <c r="AE91" s="9"/>
      <c r="AF91" s="9"/>
      <c r="AG91" s="9"/>
      <c r="AH91" s="7">
        <v>1</v>
      </c>
      <c r="AI91" s="7">
        <v>0</v>
      </c>
      <c r="AJ91" s="17">
        <v>0</v>
      </c>
      <c r="AK91" s="17">
        <v>0</v>
      </c>
      <c r="AL91" s="17">
        <v>1</v>
      </c>
      <c r="AM91" s="6">
        <v>2007</v>
      </c>
      <c r="AN91" s="8" t="s">
        <v>87</v>
      </c>
      <c r="AO91" s="15">
        <v>280</v>
      </c>
      <c r="AP91" s="45">
        <v>98</v>
      </c>
      <c r="AQ91" s="8">
        <v>0</v>
      </c>
      <c r="AR91" s="255">
        <f>AO91-AP91-AQ91</f>
        <v>182</v>
      </c>
      <c r="AS91" s="6">
        <v>2013</v>
      </c>
      <c r="AT91" s="112"/>
    </row>
    <row r="92" spans="1:46" s="116" customFormat="1" ht="24.75" customHeight="1">
      <c r="A92" s="143" t="s">
        <v>446</v>
      </c>
      <c r="B92" s="144" t="s">
        <v>337</v>
      </c>
      <c r="C92" s="145" t="s">
        <v>88</v>
      </c>
      <c r="D92" s="146" t="s">
        <v>0</v>
      </c>
      <c r="E92" s="146">
        <v>630</v>
      </c>
      <c r="F92" s="147">
        <v>1</v>
      </c>
      <c r="G92" s="147" t="s">
        <v>237</v>
      </c>
      <c r="H92" s="147" t="s">
        <v>237</v>
      </c>
      <c r="I92" s="147" t="s">
        <v>237</v>
      </c>
      <c r="J92" s="148">
        <v>1</v>
      </c>
      <c r="K92" s="147" t="s">
        <v>237</v>
      </c>
      <c r="L92" s="147" t="s">
        <v>237</v>
      </c>
      <c r="M92" s="147" t="s">
        <v>237</v>
      </c>
      <c r="N92" s="147" t="s">
        <v>237</v>
      </c>
      <c r="O92" s="149" t="s">
        <v>237</v>
      </c>
      <c r="P92" s="149" t="s">
        <v>237</v>
      </c>
      <c r="Q92" s="150">
        <v>1</v>
      </c>
      <c r="R92" s="149" t="s">
        <v>237</v>
      </c>
      <c r="S92" s="149" t="s">
        <v>237</v>
      </c>
      <c r="T92" s="151">
        <v>2</v>
      </c>
      <c r="U92" s="151">
        <v>6</v>
      </c>
      <c r="V92" s="151">
        <v>1</v>
      </c>
      <c r="W92" s="151"/>
      <c r="X92" s="151"/>
      <c r="Y92" s="151"/>
      <c r="Z92" s="152"/>
      <c r="AA92" s="152"/>
      <c r="AB92" s="152"/>
      <c r="AC92" s="152"/>
      <c r="AD92" s="152"/>
      <c r="AE92" s="152"/>
      <c r="AF92" s="152"/>
      <c r="AG92" s="152"/>
      <c r="AH92" s="153">
        <v>0</v>
      </c>
      <c r="AI92" s="153">
        <v>0</v>
      </c>
      <c r="AJ92" s="154">
        <v>0</v>
      </c>
      <c r="AK92" s="154">
        <v>0</v>
      </c>
      <c r="AL92" s="154">
        <v>1</v>
      </c>
      <c r="AM92" s="155">
        <v>2006</v>
      </c>
      <c r="AN92" s="119"/>
      <c r="AO92" s="153">
        <v>630</v>
      </c>
      <c r="AP92" s="119">
        <v>329</v>
      </c>
      <c r="AQ92" s="119">
        <f>30+15</f>
        <v>45</v>
      </c>
      <c r="AR92" s="264">
        <f>AO92-AP92-AQ92</f>
        <v>256</v>
      </c>
      <c r="AS92" s="155">
        <v>2011</v>
      </c>
      <c r="AT92" s="112"/>
    </row>
    <row r="93" spans="1:46" ht="24.75" customHeight="1">
      <c r="A93" s="41" t="s">
        <v>447</v>
      </c>
      <c r="B93" s="83" t="s">
        <v>338</v>
      </c>
      <c r="C93" s="42" t="s">
        <v>69</v>
      </c>
      <c r="D93" s="21" t="s">
        <v>0</v>
      </c>
      <c r="E93" s="7">
        <v>1000</v>
      </c>
      <c r="F93" s="22">
        <v>1</v>
      </c>
      <c r="G93" s="23" t="s">
        <v>241</v>
      </c>
      <c r="H93" s="32">
        <v>1</v>
      </c>
      <c r="I93" s="23" t="s">
        <v>237</v>
      </c>
      <c r="J93" s="24">
        <v>1</v>
      </c>
      <c r="K93" s="22" t="s">
        <v>237</v>
      </c>
      <c r="L93" s="22" t="s">
        <v>237</v>
      </c>
      <c r="M93" s="23" t="s">
        <v>237</v>
      </c>
      <c r="N93" s="22" t="s">
        <v>237</v>
      </c>
      <c r="O93" s="25" t="s">
        <v>237</v>
      </c>
      <c r="P93" s="26" t="s">
        <v>237</v>
      </c>
      <c r="Q93" s="27">
        <v>1</v>
      </c>
      <c r="R93" s="26" t="s">
        <v>237</v>
      </c>
      <c r="S93" s="26" t="s">
        <v>237</v>
      </c>
      <c r="T93" s="28">
        <v>3</v>
      </c>
      <c r="U93" s="28">
        <v>8</v>
      </c>
      <c r="V93" s="28">
        <v>1</v>
      </c>
      <c r="W93" s="28"/>
      <c r="X93" s="28"/>
      <c r="Y93" s="28"/>
      <c r="Z93" s="9"/>
      <c r="AA93" s="9"/>
      <c r="AB93" s="9"/>
      <c r="AC93" s="9"/>
      <c r="AD93" s="9"/>
      <c r="AE93" s="9"/>
      <c r="AF93" s="9"/>
      <c r="AG93" s="9"/>
      <c r="AH93" s="7">
        <v>0</v>
      </c>
      <c r="AI93" s="7">
        <v>0</v>
      </c>
      <c r="AJ93" s="17">
        <v>0</v>
      </c>
      <c r="AK93" s="17">
        <v>0</v>
      </c>
      <c r="AL93" s="17">
        <v>1</v>
      </c>
      <c r="AM93" s="6">
        <v>2006</v>
      </c>
      <c r="AN93" s="8" t="s">
        <v>89</v>
      </c>
      <c r="AO93" s="7">
        <v>700</v>
      </c>
      <c r="AP93" s="45">
        <f>454+50+15</f>
        <v>519</v>
      </c>
      <c r="AQ93" s="8">
        <f>50+45-50-15+60</f>
        <v>90</v>
      </c>
      <c r="AR93" s="255">
        <f>AO93-AP93-AQ93</f>
        <v>91</v>
      </c>
      <c r="AS93" s="6">
        <v>2013</v>
      </c>
      <c r="AT93" s="112"/>
    </row>
    <row r="94" spans="1:46" s="169" customFormat="1" ht="33.75" customHeight="1">
      <c r="A94" s="409" t="s">
        <v>596</v>
      </c>
      <c r="B94" s="166" t="s">
        <v>343</v>
      </c>
      <c r="C94" s="166" t="s">
        <v>230</v>
      </c>
      <c r="D94" s="167" t="s">
        <v>0</v>
      </c>
      <c r="E94" s="167">
        <v>100</v>
      </c>
      <c r="F94" s="170">
        <v>1</v>
      </c>
      <c r="G94" s="170" t="s">
        <v>240</v>
      </c>
      <c r="H94" s="170"/>
      <c r="I94" s="170"/>
      <c r="J94" s="170">
        <v>1</v>
      </c>
      <c r="K94" s="170"/>
      <c r="L94" s="170"/>
      <c r="M94" s="170"/>
      <c r="N94" s="170"/>
      <c r="O94" s="171"/>
      <c r="P94" s="170">
        <v>1</v>
      </c>
      <c r="Q94" s="171"/>
      <c r="R94" s="171"/>
      <c r="S94" s="171"/>
      <c r="T94" s="176">
        <v>1</v>
      </c>
      <c r="U94" s="177">
        <v>11</v>
      </c>
      <c r="V94" s="177">
        <v>1</v>
      </c>
      <c r="W94" s="177"/>
      <c r="X94" s="177"/>
      <c r="Y94" s="177"/>
      <c r="Z94" s="168"/>
      <c r="AA94" s="168"/>
      <c r="AB94" s="168"/>
      <c r="AC94" s="168"/>
      <c r="AD94" s="168"/>
      <c r="AE94" s="168"/>
      <c r="AF94" s="168"/>
      <c r="AG94" s="168"/>
      <c r="AH94" s="167">
        <v>1</v>
      </c>
      <c r="AI94" s="167">
        <v>0</v>
      </c>
      <c r="AJ94" s="174">
        <v>0</v>
      </c>
      <c r="AK94" s="174">
        <v>0</v>
      </c>
      <c r="AL94" s="174">
        <v>1</v>
      </c>
      <c r="AM94" s="167">
        <v>1989</v>
      </c>
      <c r="AN94" s="399" t="s">
        <v>143</v>
      </c>
      <c r="AO94" s="301">
        <v>160</v>
      </c>
      <c r="AP94" s="178">
        <v>34</v>
      </c>
      <c r="AQ94" s="168">
        <v>0</v>
      </c>
      <c r="AR94" s="295">
        <f>AO94-AP94-AP95</f>
        <v>94</v>
      </c>
      <c r="AS94" s="166"/>
      <c r="AT94" s="112"/>
    </row>
    <row r="95" spans="1:46" s="169" customFormat="1" ht="24.75" customHeight="1">
      <c r="A95" s="410"/>
      <c r="B95" s="166" t="s">
        <v>344</v>
      </c>
      <c r="C95" s="166" t="s">
        <v>230</v>
      </c>
      <c r="D95" s="167" t="s">
        <v>0</v>
      </c>
      <c r="E95" s="167">
        <v>63</v>
      </c>
      <c r="F95" s="170">
        <v>1</v>
      </c>
      <c r="G95" s="170" t="s">
        <v>240</v>
      </c>
      <c r="H95" s="170"/>
      <c r="I95" s="170"/>
      <c r="J95" s="170">
        <v>1</v>
      </c>
      <c r="K95" s="170"/>
      <c r="L95" s="170"/>
      <c r="M95" s="170"/>
      <c r="N95" s="170"/>
      <c r="O95" s="171"/>
      <c r="P95" s="170">
        <v>1</v>
      </c>
      <c r="Q95" s="171"/>
      <c r="R95" s="171"/>
      <c r="S95" s="171"/>
      <c r="T95" s="176">
        <v>1</v>
      </c>
      <c r="U95" s="177">
        <v>10</v>
      </c>
      <c r="V95" s="177">
        <v>1</v>
      </c>
      <c r="W95" s="177"/>
      <c r="X95" s="177"/>
      <c r="Y95" s="177"/>
      <c r="Z95" s="168"/>
      <c r="AA95" s="168"/>
      <c r="AB95" s="168"/>
      <c r="AC95" s="168"/>
      <c r="AD95" s="168"/>
      <c r="AE95" s="168"/>
      <c r="AF95" s="168"/>
      <c r="AG95" s="168"/>
      <c r="AH95" s="167">
        <v>1</v>
      </c>
      <c r="AI95" s="167">
        <v>0</v>
      </c>
      <c r="AJ95" s="174">
        <v>0</v>
      </c>
      <c r="AK95" s="174">
        <v>0</v>
      </c>
      <c r="AL95" s="174">
        <v>1</v>
      </c>
      <c r="AM95" s="167">
        <v>1989</v>
      </c>
      <c r="AN95" s="399"/>
      <c r="AO95" s="302"/>
      <c r="AP95" s="179">
        <v>32</v>
      </c>
      <c r="AQ95" s="168"/>
      <c r="AR95" s="296"/>
      <c r="AS95" s="166"/>
      <c r="AT95" s="112"/>
    </row>
    <row r="96" spans="1:46" ht="24.75" customHeight="1">
      <c r="A96" s="84" t="s">
        <v>597</v>
      </c>
      <c r="B96" s="15" t="s">
        <v>579</v>
      </c>
      <c r="C96" s="15">
        <v>10</v>
      </c>
      <c r="D96" s="7"/>
      <c r="E96" s="7">
        <v>1000</v>
      </c>
      <c r="F96" s="22">
        <v>1</v>
      </c>
      <c r="G96" s="22"/>
      <c r="H96" s="22"/>
      <c r="I96" s="22"/>
      <c r="J96" s="22"/>
      <c r="K96" s="22"/>
      <c r="L96" s="22"/>
      <c r="M96" s="22"/>
      <c r="N96" s="22"/>
      <c r="O96" s="34"/>
      <c r="P96" s="22"/>
      <c r="Q96" s="34"/>
      <c r="R96" s="34"/>
      <c r="S96" s="34"/>
      <c r="T96" s="82"/>
      <c r="U96" s="30"/>
      <c r="V96" s="30"/>
      <c r="W96" s="30"/>
      <c r="X96" s="30"/>
      <c r="Y96" s="30"/>
      <c r="Z96" s="45"/>
      <c r="AA96" s="45"/>
      <c r="AB96" s="45"/>
      <c r="AC96" s="45"/>
      <c r="AD96" s="45"/>
      <c r="AE96" s="45"/>
      <c r="AF96" s="45"/>
      <c r="AG96" s="45"/>
      <c r="AH96" s="7"/>
      <c r="AI96" s="7"/>
      <c r="AJ96" s="17"/>
      <c r="AK96" s="17"/>
      <c r="AL96" s="17"/>
      <c r="AM96" s="7"/>
      <c r="AN96" s="15" t="s">
        <v>580</v>
      </c>
      <c r="AO96" s="13">
        <v>700</v>
      </c>
      <c r="AP96" s="73">
        <v>63</v>
      </c>
      <c r="AQ96" s="45">
        <v>370</v>
      </c>
      <c r="AR96" s="257">
        <f>AO96-AQ96</f>
        <v>330</v>
      </c>
      <c r="AS96" s="15"/>
      <c r="AT96" s="112"/>
    </row>
    <row r="97" spans="1:46" s="169" customFormat="1" ht="31.5" customHeight="1">
      <c r="A97" s="164" t="s">
        <v>451</v>
      </c>
      <c r="B97" s="165" t="s">
        <v>25</v>
      </c>
      <c r="C97" s="166" t="s">
        <v>230</v>
      </c>
      <c r="D97" s="167"/>
      <c r="E97" s="168">
        <v>63</v>
      </c>
      <c r="F97" s="168">
        <v>2</v>
      </c>
      <c r="G97" s="168">
        <v>26</v>
      </c>
      <c r="H97" s="168">
        <v>28</v>
      </c>
      <c r="I97" s="168">
        <v>19</v>
      </c>
      <c r="J97" s="168">
        <v>18</v>
      </c>
      <c r="K97" s="168">
        <v>19</v>
      </c>
      <c r="L97" s="168"/>
      <c r="M97" s="168"/>
      <c r="N97" s="168">
        <v>2</v>
      </c>
      <c r="O97" s="168">
        <v>28</v>
      </c>
      <c r="P97" s="168">
        <v>30</v>
      </c>
      <c r="Q97" s="168"/>
      <c r="R97" s="168">
        <v>6</v>
      </c>
      <c r="S97" s="168">
        <v>8</v>
      </c>
      <c r="T97" s="182">
        <v>20</v>
      </c>
      <c r="U97" s="165">
        <v>25</v>
      </c>
      <c r="V97" s="165">
        <v>2</v>
      </c>
      <c r="W97" s="165"/>
      <c r="X97" s="165">
        <v>74</v>
      </c>
      <c r="Y97" s="165">
        <v>1</v>
      </c>
      <c r="Z97" s="165"/>
      <c r="AA97" s="165"/>
      <c r="AB97" s="165"/>
      <c r="AC97" s="165"/>
      <c r="AD97" s="165"/>
      <c r="AE97" s="165"/>
      <c r="AF97" s="165"/>
      <c r="AG97" s="165"/>
      <c r="AH97" s="168">
        <v>2</v>
      </c>
      <c r="AI97" s="168">
        <v>2</v>
      </c>
      <c r="AJ97" s="168">
        <v>2</v>
      </c>
      <c r="AK97" s="168">
        <v>19</v>
      </c>
      <c r="AL97" s="168">
        <v>0</v>
      </c>
      <c r="AM97" s="167">
        <v>1992</v>
      </c>
      <c r="AN97" s="168" t="s">
        <v>40</v>
      </c>
      <c r="AO97" s="182">
        <v>3100</v>
      </c>
      <c r="AP97" s="182">
        <f>SUM(AP98:AP115)</f>
        <v>6912</v>
      </c>
      <c r="AQ97" s="182">
        <f>AQ98+AQ99+AQ101+AQ102+AQ103+198+AQ105+AQ106+AQ107+AQ108+AQ109+AQ110+AQ111+AQ112+AQ113+AQ114+AQ115+93</f>
        <v>6661.3</v>
      </c>
      <c r="AR97" s="260">
        <f>AO97-AP97-AQ97</f>
        <v>-10473.3</v>
      </c>
      <c r="AS97" s="166" t="s">
        <v>295</v>
      </c>
      <c r="AT97" s="116"/>
    </row>
    <row r="98" spans="1:46" ht="24.75" customHeight="1">
      <c r="A98" s="41" t="s">
        <v>452</v>
      </c>
      <c r="B98" s="8" t="s">
        <v>35</v>
      </c>
      <c r="C98" s="6" t="s">
        <v>230</v>
      </c>
      <c r="D98" s="7" t="s">
        <v>1</v>
      </c>
      <c r="E98" s="7">
        <v>1000</v>
      </c>
      <c r="F98" s="17">
        <v>2</v>
      </c>
      <c r="G98" s="19">
        <v>8</v>
      </c>
      <c r="H98" s="17">
        <v>8</v>
      </c>
      <c r="I98" s="19"/>
      <c r="J98" s="19">
        <v>6</v>
      </c>
      <c r="K98" s="17"/>
      <c r="L98" s="17"/>
      <c r="M98" s="19"/>
      <c r="N98" s="17"/>
      <c r="O98" s="20">
        <v>2</v>
      </c>
      <c r="P98" s="7">
        <v>2</v>
      </c>
      <c r="Q98" s="7">
        <v>6</v>
      </c>
      <c r="R98" s="7"/>
      <c r="S98" s="7"/>
      <c r="T98" s="14"/>
      <c r="U98" s="9">
        <v>30</v>
      </c>
      <c r="V98" s="9">
        <v>2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7">
        <v>0</v>
      </c>
      <c r="AI98" s="7">
        <v>0</v>
      </c>
      <c r="AJ98" s="17">
        <v>0</v>
      </c>
      <c r="AK98" s="17">
        <v>0</v>
      </c>
      <c r="AL98" s="17">
        <v>2</v>
      </c>
      <c r="AM98" s="7">
        <v>1993</v>
      </c>
      <c r="AN98" s="8" t="s">
        <v>36</v>
      </c>
      <c r="AO98" s="7">
        <v>1400</v>
      </c>
      <c r="AP98" s="71">
        <v>460</v>
      </c>
      <c r="AQ98" s="8">
        <f>759+15+10-15-15+125+100-100</f>
        <v>879</v>
      </c>
      <c r="AR98" s="255">
        <f>AO98-AP98-AQ98</f>
        <v>61</v>
      </c>
      <c r="AS98" s="6"/>
      <c r="AT98" s="112"/>
    </row>
    <row r="99" spans="1:46" ht="42" customHeight="1">
      <c r="A99" s="41" t="s">
        <v>453</v>
      </c>
      <c r="B99" s="45" t="s">
        <v>354</v>
      </c>
      <c r="C99" s="6" t="s">
        <v>230</v>
      </c>
      <c r="D99" s="21" t="s">
        <v>0</v>
      </c>
      <c r="E99" s="21">
        <v>630</v>
      </c>
      <c r="F99" s="22">
        <v>2</v>
      </c>
      <c r="G99" s="23"/>
      <c r="H99" s="22">
        <v>6</v>
      </c>
      <c r="I99" s="23"/>
      <c r="J99" s="23">
        <v>6</v>
      </c>
      <c r="K99" s="22"/>
      <c r="L99" s="22"/>
      <c r="M99" s="23"/>
      <c r="N99" s="22"/>
      <c r="O99" s="33">
        <v>6</v>
      </c>
      <c r="P99" s="34">
        <v>6</v>
      </c>
      <c r="Q99" s="34">
        <v>2</v>
      </c>
      <c r="R99" s="34"/>
      <c r="S99" s="34"/>
      <c r="T99" s="35">
        <v>2</v>
      </c>
      <c r="U99" s="28">
        <v>26</v>
      </c>
      <c r="V99" s="28">
        <v>2</v>
      </c>
      <c r="W99" s="28"/>
      <c r="X99" s="28"/>
      <c r="Y99" s="28"/>
      <c r="Z99" s="9"/>
      <c r="AA99" s="9"/>
      <c r="AB99" s="9"/>
      <c r="AC99" s="9"/>
      <c r="AD99" s="9"/>
      <c r="AE99" s="9"/>
      <c r="AF99" s="9"/>
      <c r="AG99" s="9"/>
      <c r="AH99" s="7">
        <v>0</v>
      </c>
      <c r="AI99" s="7">
        <v>0</v>
      </c>
      <c r="AJ99" s="17">
        <v>0</v>
      </c>
      <c r="AK99" s="17">
        <v>0</v>
      </c>
      <c r="AL99" s="17">
        <v>2</v>
      </c>
      <c r="AM99" s="6">
        <v>2010</v>
      </c>
      <c r="AN99" s="45" t="s">
        <v>84</v>
      </c>
      <c r="AO99" s="7">
        <v>882</v>
      </c>
      <c r="AP99" s="45">
        <f>230+0.2</f>
        <v>230.2</v>
      </c>
      <c r="AQ99" s="45">
        <f>650-0.2+0.5</f>
        <v>650.3</v>
      </c>
      <c r="AR99" s="255">
        <v>882</v>
      </c>
      <c r="AS99" s="6"/>
      <c r="AT99" s="112"/>
    </row>
    <row r="100" spans="1:46" ht="24.75" customHeight="1">
      <c r="A100" s="41" t="s">
        <v>454</v>
      </c>
      <c r="B100" s="8" t="s">
        <v>693</v>
      </c>
      <c r="C100" s="6" t="s">
        <v>292</v>
      </c>
      <c r="D100" s="7"/>
      <c r="E100" s="7">
        <v>1000</v>
      </c>
      <c r="F100" s="17">
        <v>2</v>
      </c>
      <c r="G100" s="19"/>
      <c r="H100" s="17"/>
      <c r="I100" s="19"/>
      <c r="J100" s="19"/>
      <c r="K100" s="17"/>
      <c r="L100" s="17"/>
      <c r="M100" s="19"/>
      <c r="N100" s="17"/>
      <c r="O100" s="20"/>
      <c r="P100" s="7"/>
      <c r="Q100" s="7"/>
      <c r="R100" s="7"/>
      <c r="S100" s="7"/>
      <c r="T100" s="14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7"/>
      <c r="AI100" s="7"/>
      <c r="AJ100" s="17"/>
      <c r="AK100" s="17"/>
      <c r="AL100" s="17"/>
      <c r="AM100" s="7"/>
      <c r="AN100" s="8" t="s">
        <v>84</v>
      </c>
      <c r="AO100" s="7">
        <v>1400</v>
      </c>
      <c r="AP100" s="71">
        <f>0+167.4</f>
        <v>167.4</v>
      </c>
      <c r="AQ100" s="8">
        <f>167.4-167.4+395.6</f>
        <v>395.6</v>
      </c>
      <c r="AR100" s="255">
        <f>AO100-AP100-AQ100</f>
        <v>836.9999999999999</v>
      </c>
      <c r="AS100" s="6"/>
      <c r="AT100" s="112"/>
    </row>
    <row r="101" spans="1:46" ht="24.75" customHeight="1">
      <c r="A101" s="41" t="s">
        <v>455</v>
      </c>
      <c r="B101" s="8" t="s">
        <v>572</v>
      </c>
      <c r="C101" s="6" t="s">
        <v>292</v>
      </c>
      <c r="D101" s="7"/>
      <c r="E101" s="7">
        <v>1000</v>
      </c>
      <c r="F101" s="17">
        <v>2</v>
      </c>
      <c r="G101" s="19"/>
      <c r="H101" s="17"/>
      <c r="I101" s="19"/>
      <c r="J101" s="19"/>
      <c r="K101" s="17"/>
      <c r="L101" s="17"/>
      <c r="M101" s="19"/>
      <c r="N101" s="17"/>
      <c r="O101" s="20"/>
      <c r="P101" s="7"/>
      <c r="Q101" s="7"/>
      <c r="R101" s="7"/>
      <c r="S101" s="7"/>
      <c r="T101" s="14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7"/>
      <c r="AI101" s="7"/>
      <c r="AJ101" s="17"/>
      <c r="AK101" s="17"/>
      <c r="AL101" s="17"/>
      <c r="AM101" s="7"/>
      <c r="AN101" s="8" t="s">
        <v>84</v>
      </c>
      <c r="AO101" s="7">
        <v>1400</v>
      </c>
      <c r="AP101" s="71">
        <v>329</v>
      </c>
      <c r="AQ101" s="8">
        <v>1745</v>
      </c>
      <c r="AR101" s="255">
        <f>AO101-AP101-AQ101</f>
        <v>-674</v>
      </c>
      <c r="AS101" s="6"/>
      <c r="AT101" s="112"/>
    </row>
    <row r="102" spans="1:45" ht="24.75" customHeight="1">
      <c r="A102" s="41" t="s">
        <v>456</v>
      </c>
      <c r="B102" s="41" t="s">
        <v>64</v>
      </c>
      <c r="C102" s="42" t="s">
        <v>230</v>
      </c>
      <c r="D102" s="21" t="s">
        <v>3</v>
      </c>
      <c r="E102" s="21">
        <v>1000</v>
      </c>
      <c r="F102" s="22">
        <v>2</v>
      </c>
      <c r="G102" s="23" t="s">
        <v>245</v>
      </c>
      <c r="H102" s="32">
        <v>8</v>
      </c>
      <c r="I102" s="23" t="s">
        <v>237</v>
      </c>
      <c r="J102" s="24">
        <v>8</v>
      </c>
      <c r="K102" s="22" t="s">
        <v>237</v>
      </c>
      <c r="L102" s="22" t="s">
        <v>237</v>
      </c>
      <c r="M102" s="23" t="s">
        <v>237</v>
      </c>
      <c r="N102" s="22" t="s">
        <v>237</v>
      </c>
      <c r="O102" s="25" t="s">
        <v>237</v>
      </c>
      <c r="P102" s="26" t="s">
        <v>237</v>
      </c>
      <c r="Q102" s="27">
        <v>8</v>
      </c>
      <c r="R102" s="26" t="s">
        <v>237</v>
      </c>
      <c r="S102" s="26" t="s">
        <v>237</v>
      </c>
      <c r="T102" s="28">
        <v>4</v>
      </c>
      <c r="U102" s="28">
        <v>30</v>
      </c>
      <c r="V102" s="28">
        <v>2</v>
      </c>
      <c r="W102" s="28"/>
      <c r="X102" s="28"/>
      <c r="Y102" s="28"/>
      <c r="Z102" s="9"/>
      <c r="AA102" s="9"/>
      <c r="AB102" s="9"/>
      <c r="AC102" s="9"/>
      <c r="AD102" s="9"/>
      <c r="AE102" s="9"/>
      <c r="AF102" s="9"/>
      <c r="AG102" s="9"/>
      <c r="AH102" s="7">
        <v>0</v>
      </c>
      <c r="AI102" s="7">
        <v>0</v>
      </c>
      <c r="AJ102" s="17">
        <v>0</v>
      </c>
      <c r="AK102" s="17">
        <v>0</v>
      </c>
      <c r="AL102" s="17">
        <v>2</v>
      </c>
      <c r="AM102" s="6"/>
      <c r="AN102" s="63" t="s">
        <v>290</v>
      </c>
      <c r="AO102" s="6">
        <v>1400</v>
      </c>
      <c r="AP102" s="45">
        <v>592</v>
      </c>
      <c r="AQ102" s="8">
        <v>542</v>
      </c>
      <c r="AR102" s="255">
        <f>AO102-AP102-AQ102</f>
        <v>266</v>
      </c>
      <c r="AS102" s="6"/>
    </row>
    <row r="103" spans="1:46" ht="24.75" customHeight="1">
      <c r="A103" s="41" t="s">
        <v>457</v>
      </c>
      <c r="B103" s="8" t="s">
        <v>82</v>
      </c>
      <c r="C103" s="6" t="s">
        <v>230</v>
      </c>
      <c r="D103" s="7" t="s">
        <v>4</v>
      </c>
      <c r="E103" s="7">
        <v>400</v>
      </c>
      <c r="F103" s="22">
        <v>2</v>
      </c>
      <c r="G103" s="23">
        <v>2</v>
      </c>
      <c r="H103" s="22">
        <v>2</v>
      </c>
      <c r="I103" s="23"/>
      <c r="J103" s="23">
        <v>2</v>
      </c>
      <c r="K103" s="22"/>
      <c r="L103" s="22"/>
      <c r="M103" s="23"/>
      <c r="N103" s="22"/>
      <c r="O103" s="33"/>
      <c r="P103" s="34"/>
      <c r="Q103" s="34">
        <v>2</v>
      </c>
      <c r="R103" s="34"/>
      <c r="S103" s="34"/>
      <c r="T103" s="35">
        <v>1</v>
      </c>
      <c r="U103" s="28">
        <v>27</v>
      </c>
      <c r="V103" s="28">
        <v>2</v>
      </c>
      <c r="W103" s="28"/>
      <c r="X103" s="28"/>
      <c r="Y103" s="28">
        <v>1</v>
      </c>
      <c r="Z103" s="9"/>
      <c r="AA103" s="9"/>
      <c r="AB103" s="9"/>
      <c r="AC103" s="9"/>
      <c r="AD103" s="9"/>
      <c r="AE103" s="9"/>
      <c r="AF103" s="9"/>
      <c r="AG103" s="9"/>
      <c r="AH103" s="7">
        <v>0</v>
      </c>
      <c r="AI103" s="7">
        <v>0</v>
      </c>
      <c r="AJ103" s="17">
        <v>0</v>
      </c>
      <c r="AK103" s="17">
        <v>0</v>
      </c>
      <c r="AL103" s="17">
        <v>2</v>
      </c>
      <c r="AM103" s="7">
        <v>1984</v>
      </c>
      <c r="AN103" s="8" t="s">
        <v>291</v>
      </c>
      <c r="AO103" s="7">
        <v>560</v>
      </c>
      <c r="AP103" s="73">
        <v>358</v>
      </c>
      <c r="AQ103" s="40">
        <f>658+15</f>
        <v>673</v>
      </c>
      <c r="AR103" s="255">
        <f>AO103-AP103-487</f>
        <v>-285</v>
      </c>
      <c r="AS103" s="6"/>
      <c r="AT103" s="112"/>
    </row>
    <row r="104" spans="1:46" ht="34.5" customHeight="1">
      <c r="A104" s="41" t="s">
        <v>458</v>
      </c>
      <c r="B104" s="8" t="s">
        <v>83</v>
      </c>
      <c r="C104" s="6" t="s">
        <v>230</v>
      </c>
      <c r="D104" s="7" t="s">
        <v>4</v>
      </c>
      <c r="E104" s="7">
        <v>630</v>
      </c>
      <c r="F104" s="22">
        <v>2</v>
      </c>
      <c r="G104" s="23">
        <v>2</v>
      </c>
      <c r="H104" s="22">
        <v>2</v>
      </c>
      <c r="I104" s="23"/>
      <c r="J104" s="23">
        <v>2</v>
      </c>
      <c r="K104" s="22"/>
      <c r="L104" s="22"/>
      <c r="M104" s="23"/>
      <c r="N104" s="22"/>
      <c r="O104" s="33"/>
      <c r="P104" s="34"/>
      <c r="Q104" s="34">
        <v>2</v>
      </c>
      <c r="R104" s="34"/>
      <c r="S104" s="34"/>
      <c r="T104" s="35">
        <v>1</v>
      </c>
      <c r="U104" s="28">
        <v>20</v>
      </c>
      <c r="V104" s="28">
        <v>2</v>
      </c>
      <c r="W104" s="28"/>
      <c r="X104" s="28"/>
      <c r="Y104" s="28"/>
      <c r="Z104" s="9"/>
      <c r="AA104" s="9"/>
      <c r="AB104" s="9"/>
      <c r="AC104" s="9"/>
      <c r="AD104" s="9"/>
      <c r="AE104" s="9"/>
      <c r="AF104" s="9"/>
      <c r="AG104" s="9"/>
      <c r="AH104" s="7">
        <v>0</v>
      </c>
      <c r="AI104" s="7">
        <v>0</v>
      </c>
      <c r="AJ104" s="17">
        <v>0</v>
      </c>
      <c r="AK104" s="17">
        <v>0</v>
      </c>
      <c r="AL104" s="17">
        <v>2</v>
      </c>
      <c r="AM104" s="7">
        <v>1988</v>
      </c>
      <c r="AN104" s="298" t="s">
        <v>84</v>
      </c>
      <c r="AO104" s="7">
        <v>882</v>
      </c>
      <c r="AP104" s="73">
        <f>408+80+123.4+300+12+150+150</f>
        <v>1223.4</v>
      </c>
      <c r="AQ104" s="40" t="s">
        <v>700</v>
      </c>
      <c r="AR104" s="255">
        <f>AO104-AP104-498</f>
        <v>-839.4000000000001</v>
      </c>
      <c r="AS104" s="6" t="s">
        <v>295</v>
      </c>
      <c r="AT104" s="112"/>
    </row>
    <row r="105" spans="1:45" ht="24.75" customHeight="1">
      <c r="A105" s="41" t="s">
        <v>459</v>
      </c>
      <c r="B105" s="45" t="s">
        <v>85</v>
      </c>
      <c r="C105" s="6" t="s">
        <v>230</v>
      </c>
      <c r="D105" s="7" t="s">
        <v>0</v>
      </c>
      <c r="E105" s="7">
        <v>400</v>
      </c>
      <c r="F105" s="22">
        <v>1</v>
      </c>
      <c r="G105" s="23" t="s">
        <v>237</v>
      </c>
      <c r="H105" s="22" t="s">
        <v>237</v>
      </c>
      <c r="I105" s="23"/>
      <c r="J105" s="23">
        <v>1</v>
      </c>
      <c r="K105" s="22"/>
      <c r="L105" s="22"/>
      <c r="M105" s="23"/>
      <c r="N105" s="22"/>
      <c r="O105" s="25"/>
      <c r="P105" s="26"/>
      <c r="Q105" s="26">
        <v>3</v>
      </c>
      <c r="R105" s="26"/>
      <c r="S105" s="26"/>
      <c r="T105" s="28">
        <v>2</v>
      </c>
      <c r="U105" s="28">
        <v>2</v>
      </c>
      <c r="V105" s="28">
        <v>1</v>
      </c>
      <c r="W105" s="28"/>
      <c r="X105" s="28"/>
      <c r="Y105" s="28"/>
      <c r="Z105" s="9"/>
      <c r="AA105" s="9"/>
      <c r="AB105" s="9"/>
      <c r="AC105" s="9"/>
      <c r="AD105" s="9"/>
      <c r="AE105" s="9"/>
      <c r="AF105" s="9"/>
      <c r="AG105" s="9"/>
      <c r="AH105" s="7">
        <v>0</v>
      </c>
      <c r="AI105" s="7">
        <v>0</v>
      </c>
      <c r="AJ105" s="17">
        <v>0</v>
      </c>
      <c r="AK105" s="17">
        <v>0</v>
      </c>
      <c r="AL105" s="17">
        <v>1</v>
      </c>
      <c r="AM105" s="6">
        <v>2007</v>
      </c>
      <c r="AN105" s="298"/>
      <c r="AO105" s="7">
        <v>280</v>
      </c>
      <c r="AP105" s="45">
        <v>390</v>
      </c>
      <c r="AQ105" s="40">
        <v>0</v>
      </c>
      <c r="AR105" s="255">
        <f aca="true" t="shared" si="5" ref="AR105:AR112">AO105-AP105-AQ105</f>
        <v>-110</v>
      </c>
      <c r="AS105" s="6"/>
    </row>
    <row r="106" spans="1:46" ht="24.75" customHeight="1">
      <c r="A106" s="41" t="s">
        <v>460</v>
      </c>
      <c r="B106" s="8" t="s">
        <v>86</v>
      </c>
      <c r="C106" s="6" t="s">
        <v>230</v>
      </c>
      <c r="D106" s="7" t="s">
        <v>0</v>
      </c>
      <c r="E106" s="7">
        <v>400</v>
      </c>
      <c r="F106" s="22">
        <v>2</v>
      </c>
      <c r="G106" s="23">
        <v>2</v>
      </c>
      <c r="H106" s="22">
        <v>2</v>
      </c>
      <c r="I106" s="23"/>
      <c r="J106" s="23">
        <v>2</v>
      </c>
      <c r="K106" s="22"/>
      <c r="L106" s="22"/>
      <c r="M106" s="23"/>
      <c r="N106" s="22"/>
      <c r="O106" s="33"/>
      <c r="P106" s="34"/>
      <c r="Q106" s="34">
        <v>2</v>
      </c>
      <c r="R106" s="34"/>
      <c r="S106" s="34"/>
      <c r="T106" s="35">
        <v>2</v>
      </c>
      <c r="U106" s="28">
        <v>28</v>
      </c>
      <c r="V106" s="28">
        <v>2</v>
      </c>
      <c r="W106" s="28"/>
      <c r="X106" s="28"/>
      <c r="Y106" s="28"/>
      <c r="Z106" s="9"/>
      <c r="AA106" s="9"/>
      <c r="AB106" s="9"/>
      <c r="AC106" s="9"/>
      <c r="AD106" s="9"/>
      <c r="AE106" s="9"/>
      <c r="AF106" s="9"/>
      <c r="AG106" s="9"/>
      <c r="AH106" s="7">
        <v>0</v>
      </c>
      <c r="AI106" s="7">
        <v>0</v>
      </c>
      <c r="AJ106" s="17">
        <v>0</v>
      </c>
      <c r="AK106" s="17">
        <v>0</v>
      </c>
      <c r="AL106" s="17">
        <v>2</v>
      </c>
      <c r="AM106" s="7">
        <v>1985</v>
      </c>
      <c r="AN106" s="8" t="s">
        <v>36</v>
      </c>
      <c r="AO106" s="7">
        <v>560</v>
      </c>
      <c r="AP106" s="73">
        <f>230+100+45</f>
        <v>375</v>
      </c>
      <c r="AQ106" s="8">
        <f>368.5-114.5-45</f>
        <v>209</v>
      </c>
      <c r="AR106" s="255">
        <f t="shared" si="5"/>
        <v>-24</v>
      </c>
      <c r="AS106" s="6" t="s">
        <v>264</v>
      </c>
      <c r="AT106" s="112"/>
    </row>
    <row r="107" spans="1:46" ht="24.75" customHeight="1">
      <c r="A107" s="41" t="s">
        <v>461</v>
      </c>
      <c r="B107" s="8" t="s">
        <v>123</v>
      </c>
      <c r="C107" s="6" t="s">
        <v>230</v>
      </c>
      <c r="D107" s="7" t="s">
        <v>0</v>
      </c>
      <c r="E107" s="7">
        <v>630</v>
      </c>
      <c r="F107" s="22">
        <v>1</v>
      </c>
      <c r="G107" s="23">
        <v>3</v>
      </c>
      <c r="H107" s="22">
        <v>3</v>
      </c>
      <c r="I107" s="23"/>
      <c r="J107" s="23">
        <v>3</v>
      </c>
      <c r="K107" s="22"/>
      <c r="L107" s="22"/>
      <c r="M107" s="23"/>
      <c r="N107" s="22"/>
      <c r="O107" s="33">
        <v>2</v>
      </c>
      <c r="P107" s="34">
        <v>2</v>
      </c>
      <c r="Q107" s="34">
        <v>1</v>
      </c>
      <c r="R107" s="34"/>
      <c r="S107" s="34"/>
      <c r="T107" s="35">
        <v>1</v>
      </c>
      <c r="U107" s="28">
        <v>11</v>
      </c>
      <c r="V107" s="28">
        <v>1</v>
      </c>
      <c r="W107" s="28"/>
      <c r="X107" s="28"/>
      <c r="Y107" s="28"/>
      <c r="Z107" s="9"/>
      <c r="AA107" s="9"/>
      <c r="AB107" s="9"/>
      <c r="AC107" s="9"/>
      <c r="AD107" s="9"/>
      <c r="AE107" s="9"/>
      <c r="AF107" s="9"/>
      <c r="AG107" s="9"/>
      <c r="AH107" s="7">
        <v>0</v>
      </c>
      <c r="AI107" s="7">
        <v>0</v>
      </c>
      <c r="AJ107" s="17">
        <v>0</v>
      </c>
      <c r="AK107" s="17">
        <v>0</v>
      </c>
      <c r="AL107" s="17">
        <v>1</v>
      </c>
      <c r="AM107" s="7">
        <v>1986</v>
      </c>
      <c r="AN107" s="8" t="s">
        <v>40</v>
      </c>
      <c r="AO107" s="7">
        <v>441</v>
      </c>
      <c r="AP107" s="73">
        <v>105</v>
      </c>
      <c r="AQ107" s="8">
        <v>75</v>
      </c>
      <c r="AR107" s="255">
        <f t="shared" si="5"/>
        <v>261</v>
      </c>
      <c r="AS107" s="6"/>
      <c r="AT107" s="112"/>
    </row>
    <row r="108" spans="1:46" ht="24.75" customHeight="1">
      <c r="A108" s="41" t="s">
        <v>462</v>
      </c>
      <c r="B108" s="8" t="s">
        <v>126</v>
      </c>
      <c r="C108" s="6" t="s">
        <v>230</v>
      </c>
      <c r="D108" s="7" t="s">
        <v>0</v>
      </c>
      <c r="E108" s="7">
        <v>400</v>
      </c>
      <c r="F108" s="22">
        <v>2</v>
      </c>
      <c r="G108" s="23">
        <v>8</v>
      </c>
      <c r="H108" s="22">
        <v>8</v>
      </c>
      <c r="I108" s="23"/>
      <c r="J108" s="23">
        <v>8</v>
      </c>
      <c r="K108" s="22"/>
      <c r="L108" s="22"/>
      <c r="M108" s="23"/>
      <c r="N108" s="22"/>
      <c r="O108" s="33">
        <v>6</v>
      </c>
      <c r="P108" s="34">
        <v>6</v>
      </c>
      <c r="Q108" s="34">
        <v>4</v>
      </c>
      <c r="R108" s="34"/>
      <c r="S108" s="34"/>
      <c r="T108" s="35">
        <v>2</v>
      </c>
      <c r="U108" s="28">
        <v>24</v>
      </c>
      <c r="V108" s="28">
        <v>2</v>
      </c>
      <c r="W108" s="28"/>
      <c r="X108" s="28"/>
      <c r="Y108" s="28"/>
      <c r="Z108" s="9"/>
      <c r="AA108" s="9"/>
      <c r="AB108" s="9"/>
      <c r="AC108" s="9"/>
      <c r="AD108" s="9"/>
      <c r="AE108" s="9"/>
      <c r="AF108" s="9"/>
      <c r="AG108" s="9"/>
      <c r="AH108" s="7">
        <v>0</v>
      </c>
      <c r="AI108" s="7">
        <v>0</v>
      </c>
      <c r="AJ108" s="17">
        <v>0</v>
      </c>
      <c r="AK108" s="17">
        <v>0</v>
      </c>
      <c r="AL108" s="17">
        <v>2</v>
      </c>
      <c r="AM108" s="7">
        <v>1988</v>
      </c>
      <c r="AN108" s="8" t="s">
        <v>36</v>
      </c>
      <c r="AO108" s="7">
        <v>560</v>
      </c>
      <c r="AP108" s="73">
        <v>412</v>
      </c>
      <c r="AQ108" s="8">
        <v>53</v>
      </c>
      <c r="AR108" s="255">
        <f t="shared" si="5"/>
        <v>95</v>
      </c>
      <c r="AS108" s="6">
        <v>2014</v>
      </c>
      <c r="AT108" s="112"/>
    </row>
    <row r="109" spans="1:46" ht="24.75" customHeight="1">
      <c r="A109" s="41" t="s">
        <v>463</v>
      </c>
      <c r="B109" s="41" t="s">
        <v>132</v>
      </c>
      <c r="C109" s="42" t="s">
        <v>67</v>
      </c>
      <c r="D109" s="21" t="s">
        <v>0</v>
      </c>
      <c r="E109" s="21" t="s">
        <v>286</v>
      </c>
      <c r="F109" s="22">
        <v>2</v>
      </c>
      <c r="G109" s="23" t="s">
        <v>243</v>
      </c>
      <c r="H109" s="32">
        <v>6</v>
      </c>
      <c r="I109" s="23" t="s">
        <v>237</v>
      </c>
      <c r="J109" s="24">
        <v>4</v>
      </c>
      <c r="K109" s="22" t="s">
        <v>237</v>
      </c>
      <c r="L109" s="22" t="s">
        <v>237</v>
      </c>
      <c r="M109" s="23" t="s">
        <v>237</v>
      </c>
      <c r="N109" s="22" t="s">
        <v>237</v>
      </c>
      <c r="O109" s="25" t="s">
        <v>241</v>
      </c>
      <c r="P109" s="27">
        <v>1</v>
      </c>
      <c r="Q109" s="27">
        <v>6</v>
      </c>
      <c r="R109" s="26" t="s">
        <v>237</v>
      </c>
      <c r="S109" s="26" t="s">
        <v>237</v>
      </c>
      <c r="T109" s="28">
        <v>2</v>
      </c>
      <c r="U109" s="28">
        <v>20</v>
      </c>
      <c r="V109" s="28">
        <v>2</v>
      </c>
      <c r="W109" s="28"/>
      <c r="X109" s="28"/>
      <c r="Y109" s="28"/>
      <c r="Z109" s="9"/>
      <c r="AA109" s="9"/>
      <c r="AB109" s="9"/>
      <c r="AC109" s="9"/>
      <c r="AD109" s="9"/>
      <c r="AE109" s="9"/>
      <c r="AF109" s="9"/>
      <c r="AG109" s="9"/>
      <c r="AH109" s="7">
        <v>0</v>
      </c>
      <c r="AI109" s="7">
        <v>0</v>
      </c>
      <c r="AJ109" s="17">
        <v>0</v>
      </c>
      <c r="AK109" s="17">
        <v>0</v>
      </c>
      <c r="AL109" s="17">
        <v>2</v>
      </c>
      <c r="AM109" s="6">
        <v>1998</v>
      </c>
      <c r="AN109" s="8" t="s">
        <v>36</v>
      </c>
      <c r="AO109" s="6">
        <v>882</v>
      </c>
      <c r="AP109" s="45">
        <f>276+47+43+44</f>
        <v>410</v>
      </c>
      <c r="AQ109" s="8">
        <f>75+44-44</f>
        <v>75</v>
      </c>
      <c r="AR109" s="255">
        <f t="shared" si="5"/>
        <v>397</v>
      </c>
      <c r="AS109" s="6">
        <v>2016</v>
      </c>
      <c r="AT109" s="112"/>
    </row>
    <row r="110" spans="1:46" ht="30.75" customHeight="1">
      <c r="A110" s="41" t="s">
        <v>464</v>
      </c>
      <c r="B110" s="41" t="s">
        <v>133</v>
      </c>
      <c r="C110" s="42" t="s">
        <v>196</v>
      </c>
      <c r="D110" s="42" t="s">
        <v>1</v>
      </c>
      <c r="E110" s="21">
        <v>1000</v>
      </c>
      <c r="F110" s="22">
        <v>2</v>
      </c>
      <c r="G110" s="23" t="s">
        <v>245</v>
      </c>
      <c r="H110" s="32">
        <v>8</v>
      </c>
      <c r="I110" s="23" t="s">
        <v>237</v>
      </c>
      <c r="J110" s="24">
        <v>8</v>
      </c>
      <c r="K110" s="22" t="s">
        <v>237</v>
      </c>
      <c r="L110" s="32">
        <v>8</v>
      </c>
      <c r="M110" s="23" t="s">
        <v>237</v>
      </c>
      <c r="N110" s="22" t="s">
        <v>237</v>
      </c>
      <c r="O110" s="25" t="s">
        <v>237</v>
      </c>
      <c r="P110" s="26" t="s">
        <v>237</v>
      </c>
      <c r="Q110" s="26" t="s">
        <v>237</v>
      </c>
      <c r="R110" s="26" t="s">
        <v>237</v>
      </c>
      <c r="S110" s="26" t="s">
        <v>237</v>
      </c>
      <c r="T110" s="28">
        <v>2</v>
      </c>
      <c r="U110" s="28">
        <v>36</v>
      </c>
      <c r="V110" s="28">
        <v>2</v>
      </c>
      <c r="W110" s="28"/>
      <c r="X110" s="28"/>
      <c r="Y110" s="28"/>
      <c r="Z110" s="9"/>
      <c r="AA110" s="9"/>
      <c r="AB110" s="9"/>
      <c r="AC110" s="9"/>
      <c r="AD110" s="9"/>
      <c r="AE110" s="9"/>
      <c r="AF110" s="9"/>
      <c r="AG110" s="9"/>
      <c r="AH110" s="7">
        <v>0</v>
      </c>
      <c r="AI110" s="7">
        <v>0</v>
      </c>
      <c r="AJ110" s="17">
        <v>0</v>
      </c>
      <c r="AK110" s="17">
        <v>0</v>
      </c>
      <c r="AL110" s="17">
        <v>2</v>
      </c>
      <c r="AM110" s="6">
        <v>2006</v>
      </c>
      <c r="AN110" s="298" t="s">
        <v>134</v>
      </c>
      <c r="AO110" s="6">
        <v>1400</v>
      </c>
      <c r="AP110" s="45">
        <v>502</v>
      </c>
      <c r="AQ110" s="39">
        <v>50</v>
      </c>
      <c r="AR110" s="255">
        <f t="shared" si="5"/>
        <v>848</v>
      </c>
      <c r="AS110" s="6"/>
      <c r="AT110" s="112"/>
    </row>
    <row r="111" spans="1:46" ht="30.75" customHeight="1">
      <c r="A111" s="41" t="s">
        <v>465</v>
      </c>
      <c r="B111" s="41" t="s">
        <v>135</v>
      </c>
      <c r="C111" s="42" t="s">
        <v>197</v>
      </c>
      <c r="D111" s="42" t="s">
        <v>1</v>
      </c>
      <c r="E111" s="21">
        <v>1000</v>
      </c>
      <c r="F111" s="22">
        <v>2</v>
      </c>
      <c r="G111" s="23" t="s">
        <v>245</v>
      </c>
      <c r="H111" s="32">
        <v>8</v>
      </c>
      <c r="I111" s="23" t="s">
        <v>237</v>
      </c>
      <c r="J111" s="24">
        <v>6</v>
      </c>
      <c r="K111" s="22" t="s">
        <v>237</v>
      </c>
      <c r="L111" s="32">
        <v>8</v>
      </c>
      <c r="M111" s="23" t="s">
        <v>237</v>
      </c>
      <c r="N111" s="22" t="s">
        <v>237</v>
      </c>
      <c r="O111" s="25" t="s">
        <v>237</v>
      </c>
      <c r="P111" s="26" t="s">
        <v>237</v>
      </c>
      <c r="Q111" s="26" t="s">
        <v>237</v>
      </c>
      <c r="R111" s="26" t="s">
        <v>237</v>
      </c>
      <c r="S111" s="26" t="s">
        <v>237</v>
      </c>
      <c r="T111" s="28">
        <v>2</v>
      </c>
      <c r="U111" s="28">
        <v>34</v>
      </c>
      <c r="V111" s="28">
        <v>2</v>
      </c>
      <c r="W111" s="28"/>
      <c r="X111" s="28"/>
      <c r="Y111" s="28"/>
      <c r="Z111" s="9"/>
      <c r="AA111" s="9"/>
      <c r="AB111" s="9"/>
      <c r="AC111" s="9"/>
      <c r="AD111" s="9"/>
      <c r="AE111" s="9"/>
      <c r="AF111" s="9"/>
      <c r="AG111" s="9"/>
      <c r="AH111" s="7">
        <v>0</v>
      </c>
      <c r="AI111" s="7">
        <v>0</v>
      </c>
      <c r="AJ111" s="17">
        <v>0</v>
      </c>
      <c r="AK111" s="17">
        <v>0</v>
      </c>
      <c r="AL111" s="17">
        <v>2</v>
      </c>
      <c r="AM111" s="6">
        <v>2007</v>
      </c>
      <c r="AN111" s="298"/>
      <c r="AO111" s="6">
        <v>1400</v>
      </c>
      <c r="AP111" s="45">
        <v>362</v>
      </c>
      <c r="AQ111" s="39">
        <v>1</v>
      </c>
      <c r="AR111" s="255">
        <f t="shared" si="5"/>
        <v>1037</v>
      </c>
      <c r="AS111" s="6"/>
      <c r="AT111" s="112"/>
    </row>
    <row r="112" spans="1:46" ht="24.75" customHeight="1">
      <c r="A112" s="41" t="s">
        <v>466</v>
      </c>
      <c r="B112" s="41" t="s">
        <v>194</v>
      </c>
      <c r="C112" s="42" t="s">
        <v>248</v>
      </c>
      <c r="D112" s="42" t="s">
        <v>1</v>
      </c>
      <c r="E112" s="21">
        <v>1000</v>
      </c>
      <c r="F112" s="22">
        <v>2</v>
      </c>
      <c r="G112" s="23" t="s">
        <v>245</v>
      </c>
      <c r="H112" s="32">
        <v>8</v>
      </c>
      <c r="I112" s="23" t="s">
        <v>237</v>
      </c>
      <c r="J112" s="24">
        <v>6</v>
      </c>
      <c r="K112" s="22" t="s">
        <v>237</v>
      </c>
      <c r="L112" s="32">
        <v>2</v>
      </c>
      <c r="M112" s="23" t="s">
        <v>237</v>
      </c>
      <c r="N112" s="22" t="s">
        <v>237</v>
      </c>
      <c r="O112" s="25" t="s">
        <v>237</v>
      </c>
      <c r="P112" s="26" t="s">
        <v>237</v>
      </c>
      <c r="Q112" s="26">
        <v>6</v>
      </c>
      <c r="R112" s="26" t="s">
        <v>237</v>
      </c>
      <c r="S112" s="26" t="s">
        <v>237</v>
      </c>
      <c r="T112" s="28">
        <v>2</v>
      </c>
      <c r="U112" s="28">
        <v>36</v>
      </c>
      <c r="V112" s="28">
        <v>2</v>
      </c>
      <c r="W112" s="28"/>
      <c r="X112" s="28"/>
      <c r="Y112" s="28"/>
      <c r="Z112" s="9"/>
      <c r="AA112" s="9"/>
      <c r="AB112" s="9"/>
      <c r="AC112" s="9"/>
      <c r="AD112" s="9"/>
      <c r="AE112" s="9"/>
      <c r="AF112" s="9"/>
      <c r="AG112" s="9"/>
      <c r="AH112" s="7">
        <v>0</v>
      </c>
      <c r="AI112" s="7">
        <v>0</v>
      </c>
      <c r="AJ112" s="17">
        <v>0</v>
      </c>
      <c r="AK112" s="17">
        <v>0</v>
      </c>
      <c r="AL112" s="17">
        <v>2</v>
      </c>
      <c r="AM112" s="6">
        <v>2010</v>
      </c>
      <c r="AN112" s="298"/>
      <c r="AO112" s="6">
        <v>1400</v>
      </c>
      <c r="AP112" s="45">
        <v>329</v>
      </c>
      <c r="AQ112" s="39">
        <f>1223+6.1-6.1+50</f>
        <v>1273</v>
      </c>
      <c r="AR112" s="255">
        <f t="shared" si="5"/>
        <v>-202</v>
      </c>
      <c r="AS112" s="6"/>
      <c r="AT112" s="112"/>
    </row>
    <row r="113" spans="1:46" ht="24.75" customHeight="1">
      <c r="A113" s="41" t="s">
        <v>467</v>
      </c>
      <c r="B113" s="41" t="s">
        <v>195</v>
      </c>
      <c r="C113" s="42" t="s">
        <v>249</v>
      </c>
      <c r="D113" s="42" t="s">
        <v>1</v>
      </c>
      <c r="E113" s="21">
        <v>1000</v>
      </c>
      <c r="F113" s="22">
        <v>2</v>
      </c>
      <c r="G113" s="23" t="s">
        <v>245</v>
      </c>
      <c r="H113" s="32">
        <v>8</v>
      </c>
      <c r="I113" s="23" t="s">
        <v>237</v>
      </c>
      <c r="J113" s="24">
        <v>6</v>
      </c>
      <c r="K113" s="22" t="s">
        <v>237</v>
      </c>
      <c r="L113" s="32">
        <v>2</v>
      </c>
      <c r="M113" s="23" t="s">
        <v>237</v>
      </c>
      <c r="N113" s="22" t="s">
        <v>237</v>
      </c>
      <c r="O113" s="25" t="s">
        <v>237</v>
      </c>
      <c r="P113" s="26" t="s">
        <v>237</v>
      </c>
      <c r="Q113" s="26">
        <v>6</v>
      </c>
      <c r="R113" s="26" t="s">
        <v>237</v>
      </c>
      <c r="S113" s="26" t="s">
        <v>237</v>
      </c>
      <c r="T113" s="28">
        <v>2</v>
      </c>
      <c r="U113" s="28">
        <v>34</v>
      </c>
      <c r="V113" s="28">
        <v>2</v>
      </c>
      <c r="W113" s="28"/>
      <c r="X113" s="28"/>
      <c r="Y113" s="28"/>
      <c r="Z113" s="9"/>
      <c r="AA113" s="9"/>
      <c r="AB113" s="9"/>
      <c r="AC113" s="9"/>
      <c r="AD113" s="9"/>
      <c r="AE113" s="9"/>
      <c r="AF113" s="9"/>
      <c r="AG113" s="9"/>
      <c r="AH113" s="7">
        <v>0</v>
      </c>
      <c r="AI113" s="7">
        <v>0</v>
      </c>
      <c r="AJ113" s="17">
        <v>0</v>
      </c>
      <c r="AK113" s="17">
        <v>0</v>
      </c>
      <c r="AL113" s="17">
        <v>2</v>
      </c>
      <c r="AM113" s="6">
        <v>2010</v>
      </c>
      <c r="AN113" s="298"/>
      <c r="AO113" s="6">
        <v>1400</v>
      </c>
      <c r="AP113" s="45">
        <v>273</v>
      </c>
      <c r="AQ113" s="39">
        <f>0+50-20-30</f>
        <v>0</v>
      </c>
      <c r="AR113" s="255">
        <f aca="true" t="shared" si="6" ref="AR113:AR119">AO113-AP113-AQ113</f>
        <v>1127</v>
      </c>
      <c r="AS113" s="6"/>
      <c r="AT113" s="112"/>
    </row>
    <row r="114" spans="1:46" s="88" customFormat="1" ht="42" customHeight="1">
      <c r="A114" s="41" t="s">
        <v>543</v>
      </c>
      <c r="B114" s="45" t="s">
        <v>412</v>
      </c>
      <c r="C114" s="15" t="s">
        <v>230</v>
      </c>
      <c r="D114" s="21" t="s">
        <v>0</v>
      </c>
      <c r="E114" s="21" t="s">
        <v>359</v>
      </c>
      <c r="F114" s="22">
        <v>2</v>
      </c>
      <c r="G114" s="22"/>
      <c r="H114" s="22">
        <v>6</v>
      </c>
      <c r="I114" s="22"/>
      <c r="J114" s="22">
        <v>6</v>
      </c>
      <c r="K114" s="22"/>
      <c r="L114" s="22"/>
      <c r="M114" s="22"/>
      <c r="N114" s="22"/>
      <c r="O114" s="34">
        <v>6</v>
      </c>
      <c r="P114" s="34">
        <v>6</v>
      </c>
      <c r="Q114" s="34">
        <v>2</v>
      </c>
      <c r="R114" s="34"/>
      <c r="S114" s="34"/>
      <c r="T114" s="35">
        <v>2</v>
      </c>
      <c r="U114" s="29">
        <v>26</v>
      </c>
      <c r="V114" s="29">
        <v>2</v>
      </c>
      <c r="W114" s="29"/>
      <c r="X114" s="29"/>
      <c r="Y114" s="29"/>
      <c r="Z114" s="46"/>
      <c r="AA114" s="46"/>
      <c r="AB114" s="46"/>
      <c r="AC114" s="46"/>
      <c r="AD114" s="46"/>
      <c r="AE114" s="46"/>
      <c r="AF114" s="46"/>
      <c r="AG114" s="46"/>
      <c r="AH114" s="7">
        <v>0</v>
      </c>
      <c r="AI114" s="7">
        <v>0</v>
      </c>
      <c r="AJ114" s="17">
        <v>0</v>
      </c>
      <c r="AK114" s="17">
        <v>0</v>
      </c>
      <c r="AL114" s="17">
        <v>2</v>
      </c>
      <c r="AM114" s="15">
        <v>2012</v>
      </c>
      <c r="AN114" s="45" t="s">
        <v>413</v>
      </c>
      <c r="AO114" s="7">
        <v>1750</v>
      </c>
      <c r="AP114" s="45">
        <v>131</v>
      </c>
      <c r="AQ114" s="45">
        <v>0</v>
      </c>
      <c r="AR114" s="257">
        <f t="shared" si="6"/>
        <v>1619</v>
      </c>
      <c r="AS114" s="15"/>
      <c r="AT114" s="112"/>
    </row>
    <row r="115" spans="1:46" s="88" customFormat="1" ht="42" customHeight="1">
      <c r="A115" s="41" t="s">
        <v>694</v>
      </c>
      <c r="B115" s="45" t="s">
        <v>573</v>
      </c>
      <c r="C115" s="15" t="s">
        <v>230</v>
      </c>
      <c r="D115" s="21" t="s">
        <v>0</v>
      </c>
      <c r="E115" s="21" t="s">
        <v>574</v>
      </c>
      <c r="F115" s="22">
        <v>2</v>
      </c>
      <c r="G115" s="22"/>
      <c r="H115" s="22">
        <v>6</v>
      </c>
      <c r="I115" s="22"/>
      <c r="J115" s="22">
        <v>6</v>
      </c>
      <c r="K115" s="22"/>
      <c r="L115" s="22"/>
      <c r="M115" s="22"/>
      <c r="N115" s="22"/>
      <c r="O115" s="34">
        <v>6</v>
      </c>
      <c r="P115" s="34">
        <v>6</v>
      </c>
      <c r="Q115" s="34">
        <v>2</v>
      </c>
      <c r="R115" s="34"/>
      <c r="S115" s="34"/>
      <c r="T115" s="35">
        <v>2</v>
      </c>
      <c r="U115" s="29">
        <v>26</v>
      </c>
      <c r="V115" s="29">
        <v>2</v>
      </c>
      <c r="W115" s="29"/>
      <c r="X115" s="29"/>
      <c r="Y115" s="29"/>
      <c r="Z115" s="46"/>
      <c r="AA115" s="46"/>
      <c r="AB115" s="46"/>
      <c r="AC115" s="46"/>
      <c r="AD115" s="46"/>
      <c r="AE115" s="46"/>
      <c r="AF115" s="46"/>
      <c r="AG115" s="46"/>
      <c r="AH115" s="7">
        <v>0</v>
      </c>
      <c r="AI115" s="7">
        <v>0</v>
      </c>
      <c r="AJ115" s="17">
        <v>0</v>
      </c>
      <c r="AK115" s="17">
        <v>0</v>
      </c>
      <c r="AL115" s="17">
        <v>2</v>
      </c>
      <c r="AM115" s="15">
        <v>2015</v>
      </c>
      <c r="AN115" s="45" t="s">
        <v>544</v>
      </c>
      <c r="AO115" s="7">
        <v>882</v>
      </c>
      <c r="AP115" s="45">
        <v>263</v>
      </c>
      <c r="AQ115" s="45">
        <f>145</f>
        <v>145</v>
      </c>
      <c r="AR115" s="257">
        <f t="shared" si="6"/>
        <v>474</v>
      </c>
      <c r="AS115" s="15"/>
      <c r="AT115" s="112"/>
    </row>
    <row r="116" spans="1:46" s="169" customFormat="1" ht="28.5" customHeight="1">
      <c r="A116" s="164" t="s">
        <v>468</v>
      </c>
      <c r="B116" s="165" t="s">
        <v>26</v>
      </c>
      <c r="C116" s="166"/>
      <c r="D116" s="186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82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8"/>
      <c r="AI116" s="168"/>
      <c r="AJ116" s="168"/>
      <c r="AK116" s="168"/>
      <c r="AL116" s="168"/>
      <c r="AM116" s="167"/>
      <c r="AN116" s="168"/>
      <c r="AO116" s="182">
        <v>4300</v>
      </c>
      <c r="AP116" s="175">
        <f>SUM(AP117:AP125)</f>
        <v>4136.5</v>
      </c>
      <c r="AQ116" s="165">
        <f>69+0+83+160+514.9+50+2090+616.8+550+120+410+310-9</f>
        <v>4964.7</v>
      </c>
      <c r="AR116" s="260">
        <f t="shared" si="6"/>
        <v>-4801.2</v>
      </c>
      <c r="AS116" s="166"/>
      <c r="AT116" s="116"/>
    </row>
    <row r="117" spans="1:46" ht="24.75" customHeight="1">
      <c r="A117" s="41" t="s">
        <v>469</v>
      </c>
      <c r="B117" s="8" t="s">
        <v>80</v>
      </c>
      <c r="C117" s="6" t="s">
        <v>230</v>
      </c>
      <c r="D117" s="7" t="s">
        <v>0</v>
      </c>
      <c r="E117" s="7">
        <v>400</v>
      </c>
      <c r="F117" s="22">
        <v>2</v>
      </c>
      <c r="G117" s="23">
        <v>2</v>
      </c>
      <c r="H117" s="22">
        <v>2</v>
      </c>
      <c r="I117" s="23"/>
      <c r="J117" s="23">
        <v>2</v>
      </c>
      <c r="K117" s="22"/>
      <c r="L117" s="22"/>
      <c r="M117" s="23"/>
      <c r="N117" s="22"/>
      <c r="O117" s="33"/>
      <c r="P117" s="34"/>
      <c r="Q117" s="34">
        <v>2</v>
      </c>
      <c r="R117" s="34"/>
      <c r="S117" s="34"/>
      <c r="T117" s="35">
        <v>1</v>
      </c>
      <c r="U117" s="28">
        <v>20</v>
      </c>
      <c r="V117" s="28">
        <v>2</v>
      </c>
      <c r="W117" s="28"/>
      <c r="X117" s="28"/>
      <c r="Y117" s="28"/>
      <c r="Z117" s="9"/>
      <c r="AA117" s="9"/>
      <c r="AB117" s="9"/>
      <c r="AC117" s="9"/>
      <c r="AD117" s="9"/>
      <c r="AE117" s="9"/>
      <c r="AF117" s="9"/>
      <c r="AG117" s="9"/>
      <c r="AH117" s="7">
        <v>0</v>
      </c>
      <c r="AI117" s="7">
        <v>0</v>
      </c>
      <c r="AJ117" s="17">
        <v>0</v>
      </c>
      <c r="AK117" s="17">
        <v>0</v>
      </c>
      <c r="AL117" s="17">
        <v>2</v>
      </c>
      <c r="AM117" s="7">
        <v>1988</v>
      </c>
      <c r="AN117" s="8" t="s">
        <v>81</v>
      </c>
      <c r="AO117" s="7">
        <v>560</v>
      </c>
      <c r="AP117" s="73">
        <v>296</v>
      </c>
      <c r="AQ117" s="40">
        <f>69</f>
        <v>69</v>
      </c>
      <c r="AR117" s="255">
        <f t="shared" si="6"/>
        <v>195</v>
      </c>
      <c r="AS117" s="6">
        <v>2016</v>
      </c>
      <c r="AT117" s="112"/>
    </row>
    <row r="118" spans="1:46" ht="24.75" customHeight="1">
      <c r="A118" s="41" t="s">
        <v>470</v>
      </c>
      <c r="B118" s="41" t="s">
        <v>90</v>
      </c>
      <c r="C118" s="42" t="s">
        <v>91</v>
      </c>
      <c r="D118" s="21" t="s">
        <v>0</v>
      </c>
      <c r="E118" s="7">
        <v>630</v>
      </c>
      <c r="F118" s="22">
        <v>1</v>
      </c>
      <c r="G118" s="23" t="s">
        <v>242</v>
      </c>
      <c r="H118" s="32">
        <v>3</v>
      </c>
      <c r="I118" s="23" t="s">
        <v>237</v>
      </c>
      <c r="J118" s="24">
        <v>2</v>
      </c>
      <c r="K118" s="22" t="s">
        <v>237</v>
      </c>
      <c r="L118" s="22" t="s">
        <v>237</v>
      </c>
      <c r="M118" s="23" t="s">
        <v>237</v>
      </c>
      <c r="N118" s="22" t="s">
        <v>237</v>
      </c>
      <c r="O118" s="25" t="s">
        <v>237</v>
      </c>
      <c r="P118" s="26" t="s">
        <v>237</v>
      </c>
      <c r="Q118" s="27">
        <v>3</v>
      </c>
      <c r="R118" s="26" t="s">
        <v>237</v>
      </c>
      <c r="S118" s="26" t="s">
        <v>237</v>
      </c>
      <c r="T118" s="28">
        <v>1</v>
      </c>
      <c r="U118" s="28">
        <v>12</v>
      </c>
      <c r="V118" s="28">
        <v>1</v>
      </c>
      <c r="W118" s="28"/>
      <c r="X118" s="28"/>
      <c r="Y118" s="28"/>
      <c r="Z118" s="9"/>
      <c r="AA118" s="9"/>
      <c r="AB118" s="9"/>
      <c r="AC118" s="9"/>
      <c r="AD118" s="9"/>
      <c r="AE118" s="9"/>
      <c r="AF118" s="9"/>
      <c r="AG118" s="9"/>
      <c r="AH118" s="7">
        <v>0</v>
      </c>
      <c r="AI118" s="7">
        <v>0</v>
      </c>
      <c r="AJ118" s="17">
        <v>0</v>
      </c>
      <c r="AK118" s="17">
        <v>0</v>
      </c>
      <c r="AL118" s="17">
        <v>1</v>
      </c>
      <c r="AM118" s="6">
        <v>2004</v>
      </c>
      <c r="AN118" s="8"/>
      <c r="AO118" s="67">
        <v>441</v>
      </c>
      <c r="AP118" s="45">
        <f>197+50</f>
        <v>247</v>
      </c>
      <c r="AQ118" s="8">
        <f>0+50-50</f>
        <v>0</v>
      </c>
      <c r="AR118" s="255">
        <f t="shared" si="6"/>
        <v>194</v>
      </c>
      <c r="AS118" s="15" t="s">
        <v>264</v>
      </c>
      <c r="AT118" s="112"/>
    </row>
    <row r="119" spans="1:46" ht="24.75" customHeight="1">
      <c r="A119" s="41" t="s">
        <v>471</v>
      </c>
      <c r="B119" s="8" t="s">
        <v>124</v>
      </c>
      <c r="C119" s="6" t="s">
        <v>230</v>
      </c>
      <c r="D119" s="7" t="s">
        <v>0</v>
      </c>
      <c r="E119" s="7">
        <v>630</v>
      </c>
      <c r="F119" s="22">
        <v>2</v>
      </c>
      <c r="G119" s="23">
        <v>3</v>
      </c>
      <c r="H119" s="22">
        <v>3</v>
      </c>
      <c r="I119" s="23"/>
      <c r="J119" s="23">
        <v>3</v>
      </c>
      <c r="K119" s="22"/>
      <c r="L119" s="22"/>
      <c r="M119" s="23"/>
      <c r="N119" s="22"/>
      <c r="O119" s="33">
        <v>3</v>
      </c>
      <c r="P119" s="34">
        <v>3</v>
      </c>
      <c r="Q119" s="34"/>
      <c r="R119" s="34"/>
      <c r="S119" s="34"/>
      <c r="T119" s="35">
        <v>1</v>
      </c>
      <c r="U119" s="28">
        <v>15</v>
      </c>
      <c r="V119" s="28">
        <v>1</v>
      </c>
      <c r="W119" s="28"/>
      <c r="X119" s="28"/>
      <c r="Y119" s="28"/>
      <c r="Z119" s="9"/>
      <c r="AA119" s="9"/>
      <c r="AB119" s="9"/>
      <c r="AC119" s="9"/>
      <c r="AD119" s="9"/>
      <c r="AE119" s="9"/>
      <c r="AF119" s="9"/>
      <c r="AG119" s="9"/>
      <c r="AH119" s="7">
        <v>0</v>
      </c>
      <c r="AI119" s="7">
        <v>0</v>
      </c>
      <c r="AJ119" s="17">
        <v>0</v>
      </c>
      <c r="AK119" s="17">
        <v>0</v>
      </c>
      <c r="AL119" s="17">
        <v>1</v>
      </c>
      <c r="AM119" s="7">
        <v>1986</v>
      </c>
      <c r="AN119" s="303" t="s">
        <v>480</v>
      </c>
      <c r="AO119" s="7">
        <v>882</v>
      </c>
      <c r="AP119" s="73">
        <v>352</v>
      </c>
      <c r="AQ119" s="40">
        <v>83</v>
      </c>
      <c r="AR119" s="255">
        <f t="shared" si="6"/>
        <v>447</v>
      </c>
      <c r="AS119" s="6"/>
      <c r="AT119" s="112"/>
    </row>
    <row r="120" spans="1:46" ht="24.75" customHeight="1">
      <c r="A120" s="41" t="s">
        <v>472</v>
      </c>
      <c r="B120" s="8" t="s">
        <v>125</v>
      </c>
      <c r="C120" s="6" t="s">
        <v>230</v>
      </c>
      <c r="D120" s="7" t="s">
        <v>0</v>
      </c>
      <c r="E120" s="7">
        <v>630</v>
      </c>
      <c r="F120" s="22">
        <v>1</v>
      </c>
      <c r="G120" s="23">
        <v>10</v>
      </c>
      <c r="H120" s="37">
        <v>10</v>
      </c>
      <c r="I120" s="23"/>
      <c r="J120" s="23">
        <v>10</v>
      </c>
      <c r="K120" s="22"/>
      <c r="L120" s="22"/>
      <c r="M120" s="23"/>
      <c r="N120" s="22"/>
      <c r="O120" s="33">
        <v>6</v>
      </c>
      <c r="P120" s="34">
        <v>6</v>
      </c>
      <c r="Q120" s="34">
        <v>5</v>
      </c>
      <c r="R120" s="34"/>
      <c r="S120" s="34"/>
      <c r="T120" s="35">
        <v>1</v>
      </c>
      <c r="U120" s="28">
        <v>21</v>
      </c>
      <c r="V120" s="28">
        <v>3</v>
      </c>
      <c r="W120" s="28"/>
      <c r="X120" s="28"/>
      <c r="Y120" s="28"/>
      <c r="Z120" s="9"/>
      <c r="AA120" s="9"/>
      <c r="AB120" s="9"/>
      <c r="AC120" s="9"/>
      <c r="AD120" s="9"/>
      <c r="AE120" s="9"/>
      <c r="AF120" s="9"/>
      <c r="AG120" s="9"/>
      <c r="AH120" s="7">
        <v>0</v>
      </c>
      <c r="AI120" s="7">
        <v>0</v>
      </c>
      <c r="AJ120" s="17">
        <v>2</v>
      </c>
      <c r="AK120" s="17">
        <v>2</v>
      </c>
      <c r="AL120" s="17">
        <v>1</v>
      </c>
      <c r="AM120" s="7">
        <v>1988</v>
      </c>
      <c r="AN120" s="303"/>
      <c r="AO120" s="7">
        <v>441</v>
      </c>
      <c r="AP120" s="73">
        <f>145-60+160+100+140</f>
        <v>485</v>
      </c>
      <c r="AQ120" s="40" t="s">
        <v>702</v>
      </c>
      <c r="AR120" s="255">
        <f>AO120-AP120-294.9</f>
        <v>-338.9</v>
      </c>
      <c r="AS120" s="6"/>
      <c r="AT120" s="112"/>
    </row>
    <row r="121" spans="1:46" ht="28.5" customHeight="1">
      <c r="A121" s="41" t="s">
        <v>473</v>
      </c>
      <c r="B121" s="47" t="s">
        <v>94</v>
      </c>
      <c r="C121" s="58" t="s">
        <v>94</v>
      </c>
      <c r="D121" s="21" t="s">
        <v>0</v>
      </c>
      <c r="E121" s="21">
        <v>630</v>
      </c>
      <c r="F121" s="22">
        <v>2</v>
      </c>
      <c r="G121" s="23" t="s">
        <v>247</v>
      </c>
      <c r="H121" s="32">
        <v>7</v>
      </c>
      <c r="I121" s="23" t="s">
        <v>237</v>
      </c>
      <c r="J121" s="24">
        <v>4</v>
      </c>
      <c r="K121" s="22" t="s">
        <v>237</v>
      </c>
      <c r="L121" s="22" t="s">
        <v>237</v>
      </c>
      <c r="M121" s="23" t="s">
        <v>237</v>
      </c>
      <c r="N121" s="22" t="s">
        <v>237</v>
      </c>
      <c r="O121" s="25" t="s">
        <v>241</v>
      </c>
      <c r="P121" s="27">
        <v>1</v>
      </c>
      <c r="Q121" s="27">
        <v>6</v>
      </c>
      <c r="R121" s="27">
        <v>6</v>
      </c>
      <c r="S121" s="26" t="s">
        <v>237</v>
      </c>
      <c r="T121" s="28">
        <v>3</v>
      </c>
      <c r="U121" s="28">
        <v>30</v>
      </c>
      <c r="V121" s="28">
        <v>2</v>
      </c>
      <c r="W121" s="28"/>
      <c r="X121" s="28"/>
      <c r="Y121" s="28">
        <v>1</v>
      </c>
      <c r="Z121" s="9"/>
      <c r="AA121" s="9"/>
      <c r="AB121" s="9"/>
      <c r="AC121" s="9"/>
      <c r="AD121" s="9"/>
      <c r="AE121" s="9"/>
      <c r="AF121" s="9"/>
      <c r="AG121" s="9"/>
      <c r="AH121" s="7">
        <v>0</v>
      </c>
      <c r="AI121" s="7">
        <v>0</v>
      </c>
      <c r="AJ121" s="17">
        <v>0</v>
      </c>
      <c r="AK121" s="17">
        <v>0</v>
      </c>
      <c r="AL121" s="17">
        <v>2</v>
      </c>
      <c r="AM121" s="6">
        <v>2003</v>
      </c>
      <c r="AN121" s="303"/>
      <c r="AO121" s="7">
        <v>882</v>
      </c>
      <c r="AP121" s="45">
        <f>296+262+200</f>
        <v>758</v>
      </c>
      <c r="AQ121" s="8">
        <v>50</v>
      </c>
      <c r="AR121" s="255">
        <f>AO121-AP121-AQ121</f>
        <v>74</v>
      </c>
      <c r="AS121" s="6"/>
      <c r="AT121" s="112"/>
    </row>
    <row r="122" spans="1:46" ht="24.75" customHeight="1">
      <c r="A122" s="41" t="s">
        <v>563</v>
      </c>
      <c r="B122" s="8" t="s">
        <v>127</v>
      </c>
      <c r="C122" s="6" t="s">
        <v>230</v>
      </c>
      <c r="D122" s="7" t="s">
        <v>0</v>
      </c>
      <c r="E122" s="7">
        <v>630</v>
      </c>
      <c r="F122" s="22">
        <v>2</v>
      </c>
      <c r="G122" s="23">
        <v>6</v>
      </c>
      <c r="H122" s="22">
        <v>6</v>
      </c>
      <c r="I122" s="23"/>
      <c r="J122" s="23">
        <v>6</v>
      </c>
      <c r="K122" s="22"/>
      <c r="L122" s="22"/>
      <c r="M122" s="23"/>
      <c r="N122" s="22"/>
      <c r="O122" s="33">
        <v>6</v>
      </c>
      <c r="P122" s="34">
        <v>6</v>
      </c>
      <c r="Q122" s="34">
        <v>2</v>
      </c>
      <c r="R122" s="34"/>
      <c r="S122" s="34"/>
      <c r="T122" s="35">
        <v>2</v>
      </c>
      <c r="U122" s="28">
        <v>26</v>
      </c>
      <c r="V122" s="28">
        <v>2</v>
      </c>
      <c r="W122" s="28"/>
      <c r="X122" s="28"/>
      <c r="Y122" s="28"/>
      <c r="Z122" s="9"/>
      <c r="AA122" s="9"/>
      <c r="AB122" s="9"/>
      <c r="AC122" s="9"/>
      <c r="AD122" s="9"/>
      <c r="AE122" s="9"/>
      <c r="AF122" s="9"/>
      <c r="AG122" s="9"/>
      <c r="AH122" s="7">
        <v>0</v>
      </c>
      <c r="AI122" s="7">
        <v>0</v>
      </c>
      <c r="AJ122" s="17">
        <v>0</v>
      </c>
      <c r="AK122" s="17">
        <v>0</v>
      </c>
      <c r="AL122" s="17">
        <v>2</v>
      </c>
      <c r="AM122" s="7">
        <v>1996</v>
      </c>
      <c r="AN122" s="303"/>
      <c r="AO122" s="7">
        <v>882</v>
      </c>
      <c r="AP122" s="73">
        <v>296</v>
      </c>
      <c r="AQ122" s="8" t="s">
        <v>560</v>
      </c>
      <c r="AR122" s="255">
        <f>AO122-AP122-466.8</f>
        <v>119.19999999999999</v>
      </c>
      <c r="AS122" s="6"/>
      <c r="AT122" s="112"/>
    </row>
    <row r="123" spans="1:46" ht="24.75" customHeight="1">
      <c r="A123" s="41" t="s">
        <v>474</v>
      </c>
      <c r="B123" s="119" t="s">
        <v>128</v>
      </c>
      <c r="C123" s="6" t="s">
        <v>230</v>
      </c>
      <c r="D123" s="7" t="s">
        <v>0</v>
      </c>
      <c r="E123" s="7">
        <v>400</v>
      </c>
      <c r="F123" s="22">
        <v>2</v>
      </c>
      <c r="G123" s="23"/>
      <c r="H123" s="22"/>
      <c r="I123" s="23"/>
      <c r="J123" s="23">
        <v>2</v>
      </c>
      <c r="K123" s="22"/>
      <c r="L123" s="22"/>
      <c r="M123" s="23"/>
      <c r="N123" s="22"/>
      <c r="O123" s="23"/>
      <c r="P123" s="22">
        <v>2</v>
      </c>
      <c r="Q123" s="22"/>
      <c r="R123" s="22"/>
      <c r="S123" s="22"/>
      <c r="T123" s="35">
        <v>2</v>
      </c>
      <c r="U123" s="28">
        <v>18</v>
      </c>
      <c r="V123" s="28">
        <v>2</v>
      </c>
      <c r="W123" s="28"/>
      <c r="X123" s="28"/>
      <c r="Y123" s="28"/>
      <c r="Z123" s="9"/>
      <c r="AA123" s="9"/>
      <c r="AB123" s="9"/>
      <c r="AC123" s="9"/>
      <c r="AD123" s="9"/>
      <c r="AE123" s="9"/>
      <c r="AF123" s="9"/>
      <c r="AG123" s="9"/>
      <c r="AH123" s="7">
        <v>0</v>
      </c>
      <c r="AI123" s="7">
        <v>0</v>
      </c>
      <c r="AJ123" s="17">
        <v>0</v>
      </c>
      <c r="AK123" s="17">
        <v>0</v>
      </c>
      <c r="AL123" s="17">
        <v>2</v>
      </c>
      <c r="AM123" s="7">
        <v>1988</v>
      </c>
      <c r="AN123" s="298" t="s">
        <v>129</v>
      </c>
      <c r="AO123" s="7">
        <v>560</v>
      </c>
      <c r="AP123" s="73">
        <f>214+50</f>
        <v>264</v>
      </c>
      <c r="AQ123" s="40">
        <f>405+50-50+45+100</f>
        <v>550</v>
      </c>
      <c r="AR123" s="255">
        <f>AO123-AP123-AQ123</f>
        <v>-254</v>
      </c>
      <c r="AS123" s="6"/>
      <c r="AT123" s="112"/>
    </row>
    <row r="124" spans="1:46" ht="24.75" customHeight="1">
      <c r="A124" s="41" t="s">
        <v>475</v>
      </c>
      <c r="B124" s="8" t="s">
        <v>130</v>
      </c>
      <c r="C124" s="6" t="s">
        <v>230</v>
      </c>
      <c r="D124" s="7" t="s">
        <v>0</v>
      </c>
      <c r="E124" s="7">
        <v>400</v>
      </c>
      <c r="F124" s="22">
        <v>2</v>
      </c>
      <c r="G124" s="23">
        <v>8</v>
      </c>
      <c r="H124" s="22">
        <v>8</v>
      </c>
      <c r="I124" s="23"/>
      <c r="J124" s="23">
        <v>4</v>
      </c>
      <c r="K124" s="22"/>
      <c r="L124" s="22"/>
      <c r="M124" s="23"/>
      <c r="N124" s="22"/>
      <c r="O124" s="33">
        <v>6</v>
      </c>
      <c r="P124" s="34">
        <v>6</v>
      </c>
      <c r="Q124" s="34">
        <v>4</v>
      </c>
      <c r="R124" s="34"/>
      <c r="S124" s="34"/>
      <c r="T124" s="35">
        <v>2</v>
      </c>
      <c r="U124" s="28">
        <v>24</v>
      </c>
      <c r="V124" s="28">
        <v>2</v>
      </c>
      <c r="W124" s="28"/>
      <c r="X124" s="28"/>
      <c r="Y124" s="28"/>
      <c r="Z124" s="9"/>
      <c r="AA124" s="9"/>
      <c r="AB124" s="9"/>
      <c r="AC124" s="9"/>
      <c r="AD124" s="9"/>
      <c r="AE124" s="9"/>
      <c r="AF124" s="9"/>
      <c r="AG124" s="9"/>
      <c r="AH124" s="7">
        <v>0</v>
      </c>
      <c r="AI124" s="7">
        <v>0</v>
      </c>
      <c r="AJ124" s="17">
        <v>0</v>
      </c>
      <c r="AK124" s="17">
        <v>0</v>
      </c>
      <c r="AL124" s="17">
        <v>2</v>
      </c>
      <c r="AM124" s="7">
        <v>1992</v>
      </c>
      <c r="AN124" s="298"/>
      <c r="AO124" s="7">
        <v>560</v>
      </c>
      <c r="AP124" s="73">
        <f>789+39.5</f>
        <v>828.5</v>
      </c>
      <c r="AQ124" s="40">
        <f>20+100+39.5-39.5</f>
        <v>120</v>
      </c>
      <c r="AR124" s="255">
        <f>AO124-AP124-AQ124</f>
        <v>-388.5</v>
      </c>
      <c r="AS124" s="6"/>
      <c r="AT124" s="112"/>
    </row>
    <row r="125" spans="1:46" ht="24.75" customHeight="1">
      <c r="A125" s="41" t="s">
        <v>476</v>
      </c>
      <c r="B125" s="47" t="s">
        <v>131</v>
      </c>
      <c r="C125" s="6" t="s">
        <v>230</v>
      </c>
      <c r="D125" s="21" t="s">
        <v>0</v>
      </c>
      <c r="E125" s="21" t="s">
        <v>286</v>
      </c>
      <c r="F125" s="22">
        <v>2</v>
      </c>
      <c r="G125" s="23" t="s">
        <v>243</v>
      </c>
      <c r="H125" s="32">
        <v>6</v>
      </c>
      <c r="I125" s="23" t="s">
        <v>237</v>
      </c>
      <c r="J125" s="24">
        <v>4</v>
      </c>
      <c r="K125" s="22" t="s">
        <v>237</v>
      </c>
      <c r="L125" s="22" t="s">
        <v>237</v>
      </c>
      <c r="M125" s="23" t="s">
        <v>237</v>
      </c>
      <c r="N125" s="22" t="s">
        <v>237</v>
      </c>
      <c r="O125" s="25" t="s">
        <v>244</v>
      </c>
      <c r="P125" s="27">
        <v>2</v>
      </c>
      <c r="Q125" s="27">
        <v>6</v>
      </c>
      <c r="R125" s="26" t="s">
        <v>237</v>
      </c>
      <c r="S125" s="26" t="s">
        <v>237</v>
      </c>
      <c r="T125" s="28">
        <v>3</v>
      </c>
      <c r="U125" s="28">
        <v>26</v>
      </c>
      <c r="V125" s="28">
        <v>2</v>
      </c>
      <c r="W125" s="28"/>
      <c r="X125" s="28"/>
      <c r="Y125" s="28"/>
      <c r="Z125" s="9"/>
      <c r="AA125" s="9"/>
      <c r="AB125" s="9"/>
      <c r="AC125" s="9"/>
      <c r="AD125" s="9"/>
      <c r="AE125" s="9"/>
      <c r="AF125" s="9"/>
      <c r="AG125" s="9"/>
      <c r="AH125" s="7">
        <v>0</v>
      </c>
      <c r="AI125" s="7">
        <v>0</v>
      </c>
      <c r="AJ125" s="17">
        <v>0</v>
      </c>
      <c r="AK125" s="17">
        <v>0</v>
      </c>
      <c r="AL125" s="17">
        <v>2</v>
      </c>
      <c r="AM125" s="6">
        <v>2007</v>
      </c>
      <c r="AN125" s="298"/>
      <c r="AO125" s="6">
        <v>1260</v>
      </c>
      <c r="AP125" s="45">
        <f>460+150</f>
        <v>610</v>
      </c>
      <c r="AQ125" s="40" t="s">
        <v>583</v>
      </c>
      <c r="AR125" s="255">
        <f>AO125-AP125-245-100+150</f>
        <v>455</v>
      </c>
      <c r="AS125" s="6"/>
      <c r="AT125" s="112"/>
    </row>
    <row r="126" spans="1:46" s="169" customFormat="1" ht="24.75" customHeight="1">
      <c r="A126" s="164" t="s">
        <v>477</v>
      </c>
      <c r="B126" s="165" t="s">
        <v>267</v>
      </c>
      <c r="C126" s="166"/>
      <c r="D126" s="186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82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8"/>
      <c r="AI126" s="168"/>
      <c r="AJ126" s="168"/>
      <c r="AK126" s="168"/>
      <c r="AL126" s="168"/>
      <c r="AM126" s="167"/>
      <c r="AN126" s="168"/>
      <c r="AO126" s="182">
        <v>1100</v>
      </c>
      <c r="AP126" s="45">
        <v>607</v>
      </c>
      <c r="AQ126" s="45">
        <f>AQ127</f>
        <v>425</v>
      </c>
      <c r="AR126" s="265">
        <f>AO126-AP126-AQ126</f>
        <v>68</v>
      </c>
      <c r="AS126" s="166"/>
      <c r="AT126" s="116"/>
    </row>
    <row r="127" spans="1:46" ht="24.75" customHeight="1">
      <c r="A127" s="41" t="s">
        <v>478</v>
      </c>
      <c r="B127" s="41" t="s">
        <v>101</v>
      </c>
      <c r="C127" s="42" t="s">
        <v>102</v>
      </c>
      <c r="D127" s="21" t="s">
        <v>4</v>
      </c>
      <c r="E127" s="21" t="s">
        <v>351</v>
      </c>
      <c r="F127" s="22">
        <v>1</v>
      </c>
      <c r="G127" s="23" t="s">
        <v>241</v>
      </c>
      <c r="H127" s="32">
        <v>1</v>
      </c>
      <c r="I127" s="23" t="s">
        <v>237</v>
      </c>
      <c r="J127" s="24">
        <v>1</v>
      </c>
      <c r="K127" s="22" t="s">
        <v>237</v>
      </c>
      <c r="L127" s="22" t="s">
        <v>237</v>
      </c>
      <c r="M127" s="23" t="s">
        <v>237</v>
      </c>
      <c r="N127" s="22" t="s">
        <v>237</v>
      </c>
      <c r="O127" s="25" t="s">
        <v>237</v>
      </c>
      <c r="P127" s="26" t="s">
        <v>237</v>
      </c>
      <c r="Q127" s="27">
        <v>1</v>
      </c>
      <c r="R127" s="26" t="s">
        <v>237</v>
      </c>
      <c r="S127" s="26" t="s">
        <v>237</v>
      </c>
      <c r="T127" s="28">
        <v>3</v>
      </c>
      <c r="U127" s="28">
        <v>8</v>
      </c>
      <c r="V127" s="28">
        <v>1</v>
      </c>
      <c r="W127" s="28"/>
      <c r="X127" s="28"/>
      <c r="Y127" s="28"/>
      <c r="Z127" s="9"/>
      <c r="AA127" s="9"/>
      <c r="AB127" s="9"/>
      <c r="AC127" s="9"/>
      <c r="AD127" s="9"/>
      <c r="AE127" s="9"/>
      <c r="AF127" s="9"/>
      <c r="AG127" s="9"/>
      <c r="AH127" s="7">
        <v>0</v>
      </c>
      <c r="AI127" s="7">
        <v>0</v>
      </c>
      <c r="AJ127" s="17">
        <v>0</v>
      </c>
      <c r="AK127" s="17">
        <v>0</v>
      </c>
      <c r="AL127" s="17">
        <v>1</v>
      </c>
      <c r="AM127" s="6">
        <v>1989</v>
      </c>
      <c r="AN127" s="8" t="s">
        <v>103</v>
      </c>
      <c r="AO127" s="6">
        <v>700</v>
      </c>
      <c r="AP127" s="45">
        <v>425</v>
      </c>
      <c r="AQ127" s="8">
        <f>15+70+40+200+100</f>
        <v>425</v>
      </c>
      <c r="AR127" s="255">
        <f>AO127-AP127-AQ127</f>
        <v>-150</v>
      </c>
      <c r="AS127" s="6">
        <v>2011</v>
      </c>
      <c r="AT127" s="112"/>
    </row>
    <row r="128" spans="1:46" s="169" customFormat="1" ht="60.75" customHeight="1">
      <c r="A128" s="164" t="s">
        <v>479</v>
      </c>
      <c r="B128" s="165" t="s">
        <v>598</v>
      </c>
      <c r="C128" s="166"/>
      <c r="D128" s="167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8"/>
      <c r="AI128" s="168"/>
      <c r="AJ128" s="168"/>
      <c r="AK128" s="168"/>
      <c r="AL128" s="168"/>
      <c r="AM128" s="166"/>
      <c r="AN128" s="168" t="s">
        <v>137</v>
      </c>
      <c r="AO128" s="165">
        <v>2250</v>
      </c>
      <c r="AP128" s="165">
        <v>1900</v>
      </c>
      <c r="AQ128" s="165">
        <v>0</v>
      </c>
      <c r="AR128" s="262">
        <f>AO128-AP128-AQ128</f>
        <v>350</v>
      </c>
      <c r="AS128" s="166">
        <v>2014</v>
      </c>
      <c r="AT128" s="116"/>
    </row>
    <row r="129" spans="1:46" s="169" customFormat="1" ht="43.5" customHeight="1">
      <c r="A129" s="164" t="s">
        <v>245</v>
      </c>
      <c r="B129" s="165" t="s">
        <v>586</v>
      </c>
      <c r="C129" s="166"/>
      <c r="D129" s="167"/>
      <c r="E129" s="167"/>
      <c r="F129" s="170"/>
      <c r="G129" s="170"/>
      <c r="H129" s="170"/>
      <c r="I129" s="170"/>
      <c r="J129" s="170"/>
      <c r="K129" s="170"/>
      <c r="L129" s="170"/>
      <c r="M129" s="170"/>
      <c r="N129" s="170"/>
      <c r="O129" s="171"/>
      <c r="P129" s="171"/>
      <c r="Q129" s="171"/>
      <c r="R129" s="171"/>
      <c r="S129" s="171"/>
      <c r="T129" s="172"/>
      <c r="U129" s="173"/>
      <c r="V129" s="173"/>
      <c r="W129" s="173"/>
      <c r="X129" s="173"/>
      <c r="Y129" s="173"/>
      <c r="Z129" s="165"/>
      <c r="AA129" s="165"/>
      <c r="AB129" s="165"/>
      <c r="AC129" s="165"/>
      <c r="AD129" s="165"/>
      <c r="AE129" s="165"/>
      <c r="AF129" s="165"/>
      <c r="AG129" s="165"/>
      <c r="AH129" s="167"/>
      <c r="AI129" s="167"/>
      <c r="AJ129" s="174"/>
      <c r="AK129" s="174"/>
      <c r="AL129" s="174"/>
      <c r="AM129" s="167"/>
      <c r="AN129" s="168" t="s">
        <v>137</v>
      </c>
      <c r="AO129" s="175">
        <v>1500</v>
      </c>
      <c r="AP129" s="175">
        <f>AP130</f>
        <v>642</v>
      </c>
      <c r="AQ129" s="165">
        <v>0</v>
      </c>
      <c r="AR129" s="265">
        <f>AO129-AP129-AQ129</f>
        <v>858</v>
      </c>
      <c r="AS129" s="166"/>
      <c r="AT129" s="116"/>
    </row>
    <row r="130" spans="1:46" ht="24.75" customHeight="1">
      <c r="A130" s="41" t="s">
        <v>426</v>
      </c>
      <c r="B130" s="8" t="s">
        <v>136</v>
      </c>
      <c r="C130" s="6" t="s">
        <v>230</v>
      </c>
      <c r="D130" s="7" t="s">
        <v>1</v>
      </c>
      <c r="E130" s="7">
        <v>630</v>
      </c>
      <c r="F130" s="22">
        <v>2</v>
      </c>
      <c r="G130" s="23">
        <v>7</v>
      </c>
      <c r="H130" s="22">
        <v>7</v>
      </c>
      <c r="I130" s="23"/>
      <c r="J130" s="23">
        <v>5</v>
      </c>
      <c r="K130" s="22"/>
      <c r="L130" s="22"/>
      <c r="M130" s="23"/>
      <c r="N130" s="22"/>
      <c r="O130" s="33">
        <v>1</v>
      </c>
      <c r="P130" s="34">
        <v>1</v>
      </c>
      <c r="Q130" s="34">
        <v>7</v>
      </c>
      <c r="R130" s="34"/>
      <c r="S130" s="34"/>
      <c r="T130" s="35">
        <v>2</v>
      </c>
      <c r="U130" s="28">
        <v>35</v>
      </c>
      <c r="V130" s="28">
        <v>2</v>
      </c>
      <c r="W130" s="28"/>
      <c r="X130" s="28"/>
      <c r="Y130" s="28"/>
      <c r="Z130" s="9"/>
      <c r="AA130" s="9"/>
      <c r="AB130" s="9"/>
      <c r="AC130" s="9"/>
      <c r="AD130" s="9"/>
      <c r="AE130" s="9"/>
      <c r="AF130" s="9"/>
      <c r="AG130" s="9"/>
      <c r="AH130" s="7">
        <v>0</v>
      </c>
      <c r="AI130" s="7">
        <v>0</v>
      </c>
      <c r="AJ130" s="17">
        <v>0</v>
      </c>
      <c r="AK130" s="17">
        <v>0</v>
      </c>
      <c r="AL130" s="17">
        <v>2</v>
      </c>
      <c r="AM130" s="7">
        <v>1997</v>
      </c>
      <c r="AN130" s="8" t="s">
        <v>137</v>
      </c>
      <c r="AO130" s="7">
        <v>882</v>
      </c>
      <c r="AP130" s="73">
        <f>342+250+50</f>
        <v>642</v>
      </c>
      <c r="AQ130" s="45">
        <f>250+250+25+250-250+50-50</f>
        <v>525</v>
      </c>
      <c r="AR130" s="255">
        <f>AO130-AP130-490</f>
        <v>-250</v>
      </c>
      <c r="AS130" s="6"/>
      <c r="AT130" s="112"/>
    </row>
    <row r="131" spans="1:46" s="169" customFormat="1" ht="45" customHeight="1">
      <c r="A131" s="164" t="s">
        <v>427</v>
      </c>
      <c r="B131" s="165" t="s">
        <v>585</v>
      </c>
      <c r="C131" s="166" t="s">
        <v>19</v>
      </c>
      <c r="D131" s="167"/>
      <c r="E131" s="168">
        <v>25</v>
      </c>
      <c r="F131" s="168">
        <v>1</v>
      </c>
      <c r="G131" s="168">
        <v>17</v>
      </c>
      <c r="H131" s="168">
        <v>17</v>
      </c>
      <c r="I131" s="168">
        <v>13</v>
      </c>
      <c r="J131" s="168">
        <v>5</v>
      </c>
      <c r="K131" s="168">
        <v>13</v>
      </c>
      <c r="L131" s="168" t="s">
        <v>237</v>
      </c>
      <c r="M131" s="168" t="s">
        <v>237</v>
      </c>
      <c r="N131" s="168" t="s">
        <v>237</v>
      </c>
      <c r="O131" s="168">
        <v>16</v>
      </c>
      <c r="P131" s="168">
        <v>16</v>
      </c>
      <c r="Q131" s="168" t="s">
        <v>237</v>
      </c>
      <c r="R131" s="168" t="s">
        <v>237</v>
      </c>
      <c r="S131" s="168" t="s">
        <v>237</v>
      </c>
      <c r="T131" s="165">
        <v>3</v>
      </c>
      <c r="U131" s="165">
        <v>16</v>
      </c>
      <c r="V131" s="165">
        <v>2</v>
      </c>
      <c r="W131" s="165"/>
      <c r="X131" s="165">
        <v>48</v>
      </c>
      <c r="Y131" s="165">
        <v>1</v>
      </c>
      <c r="Z131" s="165"/>
      <c r="AA131" s="165"/>
      <c r="AB131" s="165"/>
      <c r="AC131" s="165"/>
      <c r="AD131" s="165"/>
      <c r="AE131" s="165"/>
      <c r="AF131" s="165"/>
      <c r="AG131" s="165"/>
      <c r="AH131" s="168">
        <v>0</v>
      </c>
      <c r="AI131" s="168">
        <v>0</v>
      </c>
      <c r="AJ131" s="168">
        <v>2</v>
      </c>
      <c r="AK131" s="168">
        <v>13</v>
      </c>
      <c r="AL131" s="168">
        <v>0</v>
      </c>
      <c r="AM131" s="166"/>
      <c r="AN131" s="168" t="s">
        <v>24</v>
      </c>
      <c r="AO131" s="165">
        <f>AO132+AO133+AO134+AO135+AO136</f>
        <v>5446</v>
      </c>
      <c r="AP131" s="165">
        <f>AP132+AP133+AP134+AP135+AP136</f>
        <v>2167.2</v>
      </c>
      <c r="AQ131" s="165">
        <f>AQ132+AQ133+AQ134+AQ135+AQ136</f>
        <v>2385</v>
      </c>
      <c r="AR131" s="262">
        <f>AO131-AP131-AQ131</f>
        <v>893.8000000000002</v>
      </c>
      <c r="AS131" s="166">
        <v>2014</v>
      </c>
      <c r="AT131" s="116"/>
    </row>
    <row r="132" spans="1:46" ht="33" customHeight="1">
      <c r="A132" s="47" t="s">
        <v>428</v>
      </c>
      <c r="B132" s="47" t="s">
        <v>58</v>
      </c>
      <c r="C132" s="58" t="s">
        <v>59</v>
      </c>
      <c r="D132" s="21" t="s">
        <v>0</v>
      </c>
      <c r="E132" s="21" t="s">
        <v>286</v>
      </c>
      <c r="F132" s="22">
        <v>2</v>
      </c>
      <c r="G132" s="22" t="s">
        <v>245</v>
      </c>
      <c r="H132" s="32">
        <v>8</v>
      </c>
      <c r="I132" s="22" t="s">
        <v>237</v>
      </c>
      <c r="J132" s="32">
        <v>8</v>
      </c>
      <c r="K132" s="22" t="s">
        <v>237</v>
      </c>
      <c r="L132" s="32">
        <v>8</v>
      </c>
      <c r="M132" s="22" t="s">
        <v>237</v>
      </c>
      <c r="N132" s="22" t="s">
        <v>237</v>
      </c>
      <c r="O132" s="30" t="s">
        <v>237</v>
      </c>
      <c r="P132" s="30" t="s">
        <v>237</v>
      </c>
      <c r="Q132" s="30" t="s">
        <v>237</v>
      </c>
      <c r="R132" s="30" t="s">
        <v>237</v>
      </c>
      <c r="S132" s="30" t="s">
        <v>237</v>
      </c>
      <c r="T132" s="29"/>
      <c r="U132" s="29"/>
      <c r="V132" s="29"/>
      <c r="W132" s="29"/>
      <c r="X132" s="29"/>
      <c r="Y132" s="29">
        <v>1</v>
      </c>
      <c r="Z132" s="46"/>
      <c r="AA132" s="46"/>
      <c r="AB132" s="46"/>
      <c r="AC132" s="46"/>
      <c r="AD132" s="46"/>
      <c r="AE132" s="46"/>
      <c r="AF132" s="46"/>
      <c r="AG132" s="46"/>
      <c r="AH132" s="7">
        <v>0</v>
      </c>
      <c r="AI132" s="7">
        <v>0</v>
      </c>
      <c r="AJ132" s="17">
        <v>0</v>
      </c>
      <c r="AK132" s="17">
        <v>0</v>
      </c>
      <c r="AL132" s="17">
        <v>2</v>
      </c>
      <c r="AM132" s="15"/>
      <c r="AN132" s="45" t="s">
        <v>24</v>
      </c>
      <c r="AO132" s="7">
        <v>882</v>
      </c>
      <c r="AP132" s="45">
        <f>131+29.76</f>
        <v>160.76</v>
      </c>
      <c r="AQ132" s="45">
        <f>325+110+300+29.757-29.757+40</f>
        <v>775</v>
      </c>
      <c r="AR132" s="257">
        <v>-158</v>
      </c>
      <c r="AS132" s="15"/>
      <c r="AT132" s="112"/>
    </row>
    <row r="133" spans="1:46" ht="24.75" customHeight="1">
      <c r="A133" s="47" t="s">
        <v>590</v>
      </c>
      <c r="B133" s="47" t="s">
        <v>62</v>
      </c>
      <c r="C133" s="58" t="s">
        <v>63</v>
      </c>
      <c r="D133" s="21" t="s">
        <v>3</v>
      </c>
      <c r="E133" s="21">
        <v>1000</v>
      </c>
      <c r="F133" s="22">
        <v>2</v>
      </c>
      <c r="G133" s="22" t="s">
        <v>244</v>
      </c>
      <c r="H133" s="32">
        <v>2</v>
      </c>
      <c r="I133" s="22" t="s">
        <v>237</v>
      </c>
      <c r="J133" s="32">
        <v>2</v>
      </c>
      <c r="K133" s="22" t="s">
        <v>237</v>
      </c>
      <c r="L133" s="22" t="s">
        <v>237</v>
      </c>
      <c r="M133" s="22" t="s">
        <v>237</v>
      </c>
      <c r="N133" s="22" t="s">
        <v>237</v>
      </c>
      <c r="O133" s="30" t="s">
        <v>237</v>
      </c>
      <c r="P133" s="30" t="s">
        <v>237</v>
      </c>
      <c r="Q133" s="31">
        <v>2</v>
      </c>
      <c r="R133" s="30" t="s">
        <v>237</v>
      </c>
      <c r="S133" s="30" t="s">
        <v>237</v>
      </c>
      <c r="T133" s="29">
        <v>3</v>
      </c>
      <c r="U133" s="29">
        <v>13</v>
      </c>
      <c r="V133" s="29">
        <v>2</v>
      </c>
      <c r="W133" s="29"/>
      <c r="X133" s="29"/>
      <c r="Y133" s="29">
        <v>1</v>
      </c>
      <c r="Z133" s="46"/>
      <c r="AA133" s="46"/>
      <c r="AB133" s="46"/>
      <c r="AC133" s="46"/>
      <c r="AD133" s="46"/>
      <c r="AE133" s="46"/>
      <c r="AF133" s="46"/>
      <c r="AG133" s="46"/>
      <c r="AH133" s="7">
        <v>0</v>
      </c>
      <c r="AI133" s="7">
        <v>0</v>
      </c>
      <c r="AJ133" s="17">
        <v>0</v>
      </c>
      <c r="AK133" s="17">
        <v>0</v>
      </c>
      <c r="AL133" s="17">
        <v>2</v>
      </c>
      <c r="AM133" s="15">
        <v>2007</v>
      </c>
      <c r="AN133" s="45" t="s">
        <v>24</v>
      </c>
      <c r="AO133" s="15">
        <v>1400</v>
      </c>
      <c r="AP133" s="45">
        <v>198</v>
      </c>
      <c r="AQ133" s="45">
        <f>170+145+30-100+380+200</f>
        <v>825</v>
      </c>
      <c r="AR133" s="255">
        <f aca="true" t="shared" si="7" ref="AR133:AR139">AO133-AP133-AQ133</f>
        <v>377</v>
      </c>
      <c r="AS133" s="15">
        <v>2011</v>
      </c>
      <c r="AT133" s="112"/>
    </row>
    <row r="134" spans="1:46" ht="24.75" customHeight="1">
      <c r="A134" s="47" t="s">
        <v>591</v>
      </c>
      <c r="B134" s="47" t="s">
        <v>410</v>
      </c>
      <c r="C134" s="58" t="s">
        <v>411</v>
      </c>
      <c r="D134" s="21" t="s">
        <v>3</v>
      </c>
      <c r="E134" s="21" t="s">
        <v>286</v>
      </c>
      <c r="F134" s="22">
        <v>2</v>
      </c>
      <c r="G134" s="22" t="s">
        <v>244</v>
      </c>
      <c r="H134" s="32">
        <v>2</v>
      </c>
      <c r="I134" s="22" t="s">
        <v>237</v>
      </c>
      <c r="J134" s="32">
        <v>2</v>
      </c>
      <c r="K134" s="22" t="s">
        <v>237</v>
      </c>
      <c r="L134" s="22" t="s">
        <v>237</v>
      </c>
      <c r="M134" s="22" t="s">
        <v>237</v>
      </c>
      <c r="N134" s="22" t="s">
        <v>237</v>
      </c>
      <c r="O134" s="30" t="s">
        <v>237</v>
      </c>
      <c r="P134" s="30" t="s">
        <v>237</v>
      </c>
      <c r="Q134" s="31">
        <v>2</v>
      </c>
      <c r="R134" s="30" t="s">
        <v>237</v>
      </c>
      <c r="S134" s="30" t="s">
        <v>237</v>
      </c>
      <c r="T134" s="29">
        <v>3</v>
      </c>
      <c r="U134" s="29">
        <v>13</v>
      </c>
      <c r="V134" s="29">
        <v>2</v>
      </c>
      <c r="W134" s="29"/>
      <c r="X134" s="29"/>
      <c r="Y134" s="29">
        <v>1</v>
      </c>
      <c r="Z134" s="46"/>
      <c r="AA134" s="46"/>
      <c r="AB134" s="46"/>
      <c r="AC134" s="46"/>
      <c r="AD134" s="46"/>
      <c r="AE134" s="46"/>
      <c r="AF134" s="46"/>
      <c r="AG134" s="46"/>
      <c r="AH134" s="7">
        <v>0</v>
      </c>
      <c r="AI134" s="7">
        <v>0</v>
      </c>
      <c r="AJ134" s="17">
        <v>0</v>
      </c>
      <c r="AK134" s="17">
        <v>0</v>
      </c>
      <c r="AL134" s="17">
        <v>2</v>
      </c>
      <c r="AM134" s="15">
        <v>2013</v>
      </c>
      <c r="AN134" s="45" t="s">
        <v>24</v>
      </c>
      <c r="AO134" s="15">
        <v>882</v>
      </c>
      <c r="AP134" s="45">
        <v>457</v>
      </c>
      <c r="AQ134" s="45">
        <f>270+60+50+100-150-120</f>
        <v>210</v>
      </c>
      <c r="AR134" s="255">
        <f t="shared" si="7"/>
        <v>215</v>
      </c>
      <c r="AS134" s="15"/>
      <c r="AT134" s="112"/>
    </row>
    <row r="135" spans="1:46" ht="33" customHeight="1">
      <c r="A135" s="47" t="s">
        <v>592</v>
      </c>
      <c r="B135" s="47" t="s">
        <v>66</v>
      </c>
      <c r="C135" s="58" t="s">
        <v>246</v>
      </c>
      <c r="D135" s="21" t="s">
        <v>0</v>
      </c>
      <c r="E135" s="21" t="s">
        <v>286</v>
      </c>
      <c r="F135" s="22">
        <v>2</v>
      </c>
      <c r="G135" s="22" t="s">
        <v>245</v>
      </c>
      <c r="H135" s="32">
        <v>8</v>
      </c>
      <c r="I135" s="22" t="s">
        <v>237</v>
      </c>
      <c r="J135" s="32">
        <v>8</v>
      </c>
      <c r="K135" s="22" t="s">
        <v>237</v>
      </c>
      <c r="L135" s="32">
        <v>8</v>
      </c>
      <c r="M135" s="22" t="s">
        <v>237</v>
      </c>
      <c r="N135" s="22" t="s">
        <v>237</v>
      </c>
      <c r="O135" s="30" t="s">
        <v>237</v>
      </c>
      <c r="P135" s="30" t="s">
        <v>237</v>
      </c>
      <c r="Q135" s="30" t="s">
        <v>237</v>
      </c>
      <c r="R135" s="30" t="s">
        <v>237</v>
      </c>
      <c r="S135" s="30" t="s">
        <v>237</v>
      </c>
      <c r="T135" s="29">
        <v>3</v>
      </c>
      <c r="U135" s="29">
        <v>7</v>
      </c>
      <c r="V135" s="29">
        <v>2</v>
      </c>
      <c r="W135" s="29"/>
      <c r="X135" s="29"/>
      <c r="Y135" s="29">
        <v>1</v>
      </c>
      <c r="Z135" s="46"/>
      <c r="AA135" s="46"/>
      <c r="AB135" s="46"/>
      <c r="AC135" s="46"/>
      <c r="AD135" s="46"/>
      <c r="AE135" s="46"/>
      <c r="AF135" s="46"/>
      <c r="AG135" s="46"/>
      <c r="AH135" s="7">
        <v>0</v>
      </c>
      <c r="AI135" s="7">
        <v>0</v>
      </c>
      <c r="AJ135" s="17">
        <v>0</v>
      </c>
      <c r="AK135" s="17">
        <v>0</v>
      </c>
      <c r="AL135" s="17">
        <v>1</v>
      </c>
      <c r="AM135" s="15">
        <v>2006</v>
      </c>
      <c r="AN135" s="45" t="s">
        <v>24</v>
      </c>
      <c r="AO135" s="15">
        <v>882</v>
      </c>
      <c r="AP135" s="45">
        <f>263+160+125+0.44</f>
        <v>548.44</v>
      </c>
      <c r="AQ135" s="45">
        <f>748-160-125+0.44-0.44</f>
        <v>463</v>
      </c>
      <c r="AR135" s="255">
        <f t="shared" si="7"/>
        <v>-129.44000000000005</v>
      </c>
      <c r="AS135" s="15"/>
      <c r="AT135" s="112"/>
    </row>
    <row r="136" spans="1:46" ht="41.25" customHeight="1">
      <c r="A136" s="47" t="s">
        <v>593</v>
      </c>
      <c r="B136" s="47" t="s">
        <v>69</v>
      </c>
      <c r="C136" s="58" t="s">
        <v>70</v>
      </c>
      <c r="D136" s="21" t="s">
        <v>0</v>
      </c>
      <c r="E136" s="21" t="s">
        <v>351</v>
      </c>
      <c r="F136" s="22">
        <v>2</v>
      </c>
      <c r="G136" s="22" t="s">
        <v>244</v>
      </c>
      <c r="H136" s="32">
        <v>2</v>
      </c>
      <c r="I136" s="22" t="s">
        <v>237</v>
      </c>
      <c r="J136" s="32">
        <v>2</v>
      </c>
      <c r="K136" s="22" t="s">
        <v>237</v>
      </c>
      <c r="L136" s="22" t="s">
        <v>237</v>
      </c>
      <c r="M136" s="22" t="s">
        <v>237</v>
      </c>
      <c r="N136" s="22" t="s">
        <v>237</v>
      </c>
      <c r="O136" s="30" t="s">
        <v>237</v>
      </c>
      <c r="P136" s="30" t="s">
        <v>237</v>
      </c>
      <c r="Q136" s="31">
        <v>2</v>
      </c>
      <c r="R136" s="30" t="s">
        <v>237</v>
      </c>
      <c r="S136" s="30" t="s">
        <v>237</v>
      </c>
      <c r="T136" s="29">
        <v>7</v>
      </c>
      <c r="U136" s="29">
        <v>12</v>
      </c>
      <c r="V136" s="29">
        <v>2</v>
      </c>
      <c r="W136" s="29"/>
      <c r="X136" s="29"/>
      <c r="Y136" s="29"/>
      <c r="Z136" s="46"/>
      <c r="AA136" s="46"/>
      <c r="AB136" s="46"/>
      <c r="AC136" s="46"/>
      <c r="AD136" s="46"/>
      <c r="AE136" s="46"/>
      <c r="AF136" s="46"/>
      <c r="AG136" s="46"/>
      <c r="AH136" s="7">
        <v>0</v>
      </c>
      <c r="AI136" s="7">
        <v>0</v>
      </c>
      <c r="AJ136" s="17">
        <v>0</v>
      </c>
      <c r="AK136" s="17">
        <v>0</v>
      </c>
      <c r="AL136" s="17">
        <v>2</v>
      </c>
      <c r="AM136" s="15">
        <v>2007</v>
      </c>
      <c r="AN136" s="45" t="s">
        <v>71</v>
      </c>
      <c r="AO136" s="7">
        <v>1400</v>
      </c>
      <c r="AP136" s="45">
        <f>462+60+96+185</f>
        <v>803</v>
      </c>
      <c r="AQ136" s="45">
        <f>30+44+96+40+42+101-96+40-185</f>
        <v>112</v>
      </c>
      <c r="AR136" s="255">
        <f t="shared" si="7"/>
        <v>485</v>
      </c>
      <c r="AS136" s="15">
        <v>2012</v>
      </c>
      <c r="AT136" s="112"/>
    </row>
    <row r="137" spans="1:46" s="169" customFormat="1" ht="37.5" customHeight="1">
      <c r="A137" s="164" t="s">
        <v>335</v>
      </c>
      <c r="B137" s="288" t="s">
        <v>575</v>
      </c>
      <c r="C137" s="289"/>
      <c r="D137" s="186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82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8"/>
      <c r="AI137" s="168"/>
      <c r="AJ137" s="168"/>
      <c r="AK137" s="168"/>
      <c r="AL137" s="168"/>
      <c r="AM137" s="167"/>
      <c r="AN137" s="168"/>
      <c r="AO137" s="182">
        <v>170</v>
      </c>
      <c r="AP137" s="182">
        <f>SUM(AP138)</f>
        <v>526</v>
      </c>
      <c r="AQ137" s="182">
        <f>SUM(AQ138)</f>
        <v>425</v>
      </c>
      <c r="AR137" s="265">
        <f t="shared" si="7"/>
        <v>-781</v>
      </c>
      <c r="AS137" s="166"/>
      <c r="AT137" s="116"/>
    </row>
    <row r="138" spans="1:46" ht="24.75" customHeight="1">
      <c r="A138" s="47"/>
      <c r="B138" s="156" t="s">
        <v>345</v>
      </c>
      <c r="C138" s="58" t="s">
        <v>584</v>
      </c>
      <c r="D138" s="21" t="s">
        <v>4</v>
      </c>
      <c r="E138" s="21" t="s">
        <v>286</v>
      </c>
      <c r="F138" s="22">
        <v>1</v>
      </c>
      <c r="G138" s="22" t="s">
        <v>237</v>
      </c>
      <c r="H138" s="22" t="s">
        <v>237</v>
      </c>
      <c r="I138" s="22" t="s">
        <v>237</v>
      </c>
      <c r="J138" s="32">
        <v>1</v>
      </c>
      <c r="K138" s="22" t="s">
        <v>237</v>
      </c>
      <c r="L138" s="22" t="s">
        <v>237</v>
      </c>
      <c r="M138" s="22" t="s">
        <v>237</v>
      </c>
      <c r="N138" s="22" t="s">
        <v>237</v>
      </c>
      <c r="O138" s="30" t="s">
        <v>237</v>
      </c>
      <c r="P138" s="30" t="s">
        <v>237</v>
      </c>
      <c r="Q138" s="31">
        <v>2</v>
      </c>
      <c r="R138" s="31">
        <v>3</v>
      </c>
      <c r="S138" s="30" t="s">
        <v>237</v>
      </c>
      <c r="T138" s="29">
        <v>2</v>
      </c>
      <c r="U138" s="29">
        <v>6</v>
      </c>
      <c r="V138" s="29">
        <v>1</v>
      </c>
      <c r="W138" s="29"/>
      <c r="X138" s="29"/>
      <c r="Y138" s="29"/>
      <c r="Z138" s="46"/>
      <c r="AA138" s="46"/>
      <c r="AB138" s="46"/>
      <c r="AC138" s="46"/>
      <c r="AD138" s="46"/>
      <c r="AE138" s="46"/>
      <c r="AF138" s="46"/>
      <c r="AG138" s="46"/>
      <c r="AH138" s="7">
        <v>1</v>
      </c>
      <c r="AI138" s="7">
        <v>0</v>
      </c>
      <c r="AJ138" s="17">
        <v>0</v>
      </c>
      <c r="AK138" s="17">
        <v>0</v>
      </c>
      <c r="AL138" s="17">
        <v>2</v>
      </c>
      <c r="AM138" s="15">
        <v>2008</v>
      </c>
      <c r="AN138" s="45" t="s">
        <v>100</v>
      </c>
      <c r="AO138" s="7">
        <v>441</v>
      </c>
      <c r="AP138" s="45">
        <v>526</v>
      </c>
      <c r="AQ138" s="39">
        <f>100+200+40+30+95+5.5-40-5.5</f>
        <v>425</v>
      </c>
      <c r="AR138" s="257">
        <f t="shared" si="7"/>
        <v>-510</v>
      </c>
      <c r="AS138" s="15">
        <v>2014</v>
      </c>
      <c r="AT138" s="239"/>
    </row>
    <row r="139" spans="1:46" s="169" customFormat="1" ht="24.75" customHeight="1">
      <c r="A139" s="184" t="s">
        <v>285</v>
      </c>
      <c r="B139" s="185" t="s">
        <v>425</v>
      </c>
      <c r="C139" s="186"/>
      <c r="D139" s="187"/>
      <c r="E139" s="187"/>
      <c r="F139" s="170"/>
      <c r="G139" s="170"/>
      <c r="H139" s="170"/>
      <c r="I139" s="170"/>
      <c r="J139" s="188"/>
      <c r="K139" s="170"/>
      <c r="L139" s="170"/>
      <c r="M139" s="170"/>
      <c r="N139" s="170"/>
      <c r="O139" s="177"/>
      <c r="P139" s="177"/>
      <c r="Q139" s="189"/>
      <c r="R139" s="189"/>
      <c r="S139" s="177"/>
      <c r="T139" s="173"/>
      <c r="U139" s="173"/>
      <c r="V139" s="173"/>
      <c r="W139" s="173"/>
      <c r="X139" s="173"/>
      <c r="Y139" s="173"/>
      <c r="Z139" s="165"/>
      <c r="AA139" s="165"/>
      <c r="AB139" s="165"/>
      <c r="AC139" s="165"/>
      <c r="AD139" s="165"/>
      <c r="AE139" s="165"/>
      <c r="AF139" s="165"/>
      <c r="AG139" s="165"/>
      <c r="AH139" s="167"/>
      <c r="AI139" s="167"/>
      <c r="AJ139" s="174"/>
      <c r="AK139" s="174"/>
      <c r="AL139" s="174"/>
      <c r="AM139" s="166"/>
      <c r="AN139" s="168"/>
      <c r="AO139" s="183">
        <v>15800</v>
      </c>
      <c r="AP139" s="183">
        <f>AP140+AP147</f>
        <v>7650.4</v>
      </c>
      <c r="AQ139" s="183">
        <f>AQ140+AQ147</f>
        <v>5515.280000000001</v>
      </c>
      <c r="AR139" s="266">
        <f t="shared" si="7"/>
        <v>2634.3199999999997</v>
      </c>
      <c r="AS139" s="166"/>
      <c r="AT139" s="116"/>
    </row>
    <row r="140" spans="1:46" s="169" customFormat="1" ht="38.25" customHeight="1">
      <c r="A140" s="164" t="s">
        <v>429</v>
      </c>
      <c r="B140" s="165" t="s">
        <v>27</v>
      </c>
      <c r="C140" s="180" t="s">
        <v>21</v>
      </c>
      <c r="D140" s="181"/>
      <c r="E140" s="183"/>
      <c r="F140" s="190"/>
      <c r="G140" s="165">
        <v>20</v>
      </c>
      <c r="H140" s="165">
        <v>20</v>
      </c>
      <c r="I140" s="165"/>
      <c r="J140" s="165"/>
      <c r="K140" s="165"/>
      <c r="L140" s="165"/>
      <c r="M140" s="165">
        <v>15</v>
      </c>
      <c r="N140" s="165">
        <v>15</v>
      </c>
      <c r="O140" s="165">
        <v>20</v>
      </c>
      <c r="P140" s="165">
        <v>20</v>
      </c>
      <c r="Q140" s="165"/>
      <c r="R140" s="165"/>
      <c r="S140" s="165">
        <v>48</v>
      </c>
      <c r="T140" s="165">
        <v>6</v>
      </c>
      <c r="U140" s="165">
        <v>49</v>
      </c>
      <c r="V140" s="165">
        <v>2</v>
      </c>
      <c r="W140" s="165"/>
      <c r="X140" s="165">
        <v>54</v>
      </c>
      <c r="Y140" s="165">
        <v>1</v>
      </c>
      <c r="Z140" s="165"/>
      <c r="AA140" s="165"/>
      <c r="AB140" s="165"/>
      <c r="AC140" s="165"/>
      <c r="AD140" s="165"/>
      <c r="AE140" s="165"/>
      <c r="AF140" s="165"/>
      <c r="AG140" s="165"/>
      <c r="AH140" s="165">
        <v>0</v>
      </c>
      <c r="AI140" s="165">
        <v>14</v>
      </c>
      <c r="AJ140" s="165">
        <v>2</v>
      </c>
      <c r="AK140" s="165">
        <v>15</v>
      </c>
      <c r="AL140" s="165">
        <v>0</v>
      </c>
      <c r="AM140" s="180"/>
      <c r="AN140" s="165" t="s">
        <v>28</v>
      </c>
      <c r="AO140" s="165">
        <v>4500</v>
      </c>
      <c r="AP140" s="165">
        <f>AP141+AP142+AP143+AP144+1250+545.4</f>
        <v>2918.4</v>
      </c>
      <c r="AQ140" s="165">
        <f>AQ141+20+545.4+1622.7</f>
        <v>3028.1000000000004</v>
      </c>
      <c r="AR140" s="265">
        <f>AR141+AR142+AR143+AR144</f>
        <v>768</v>
      </c>
      <c r="AS140" s="166">
        <v>2011</v>
      </c>
      <c r="AT140" s="116"/>
    </row>
    <row r="141" spans="1:46" ht="24.75" customHeight="1">
      <c r="A141" s="41" t="s">
        <v>599</v>
      </c>
      <c r="B141" s="8" t="s">
        <v>192</v>
      </c>
      <c r="C141" s="6" t="s">
        <v>252</v>
      </c>
      <c r="D141" s="7" t="s">
        <v>1</v>
      </c>
      <c r="E141" s="7">
        <v>1250</v>
      </c>
      <c r="F141" s="17">
        <v>2</v>
      </c>
      <c r="G141" s="19"/>
      <c r="H141" s="17"/>
      <c r="I141" s="19"/>
      <c r="J141" s="19">
        <v>2</v>
      </c>
      <c r="K141" s="17"/>
      <c r="L141" s="17"/>
      <c r="M141" s="19"/>
      <c r="N141" s="17"/>
      <c r="O141" s="20"/>
      <c r="P141" s="7"/>
      <c r="Q141" s="7"/>
      <c r="R141" s="7"/>
      <c r="S141" s="7"/>
      <c r="T141" s="14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7">
        <v>0</v>
      </c>
      <c r="AI141" s="7">
        <v>0</v>
      </c>
      <c r="AJ141" s="17">
        <v>0</v>
      </c>
      <c r="AK141" s="17">
        <v>0</v>
      </c>
      <c r="AL141" s="17">
        <v>2</v>
      </c>
      <c r="AM141" s="6"/>
      <c r="AN141" s="298" t="s">
        <v>193</v>
      </c>
      <c r="AO141" s="45">
        <v>875</v>
      </c>
      <c r="AP141" s="45">
        <v>197</v>
      </c>
      <c r="AQ141" s="8">
        <v>840</v>
      </c>
      <c r="AR141" s="255">
        <f>AO141-AP141-AQ141</f>
        <v>-162</v>
      </c>
      <c r="AS141" s="6"/>
      <c r="AT141" s="112"/>
    </row>
    <row r="142" spans="1:46" ht="33" customHeight="1">
      <c r="A142" s="41" t="s">
        <v>600</v>
      </c>
      <c r="B142" s="8" t="s">
        <v>174</v>
      </c>
      <c r="C142" s="6" t="s">
        <v>113</v>
      </c>
      <c r="D142" s="7" t="s">
        <v>0</v>
      </c>
      <c r="E142" s="7">
        <v>630</v>
      </c>
      <c r="F142" s="17">
        <v>2</v>
      </c>
      <c r="G142" s="19">
        <v>6</v>
      </c>
      <c r="H142" s="17">
        <v>6</v>
      </c>
      <c r="I142" s="19"/>
      <c r="J142" s="19">
        <v>4</v>
      </c>
      <c r="K142" s="17"/>
      <c r="L142" s="17"/>
      <c r="M142" s="19"/>
      <c r="N142" s="17"/>
      <c r="O142" s="20">
        <v>2</v>
      </c>
      <c r="P142" s="7">
        <v>2</v>
      </c>
      <c r="Q142" s="7">
        <v>6</v>
      </c>
      <c r="R142" s="7"/>
      <c r="S142" s="7"/>
      <c r="T142" s="14">
        <v>2</v>
      </c>
      <c r="U142" s="9">
        <v>27</v>
      </c>
      <c r="V142" s="9">
        <v>2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7">
        <v>0</v>
      </c>
      <c r="AI142" s="7">
        <v>0</v>
      </c>
      <c r="AJ142" s="17">
        <v>0</v>
      </c>
      <c r="AK142" s="17">
        <v>0</v>
      </c>
      <c r="AL142" s="17">
        <v>2</v>
      </c>
      <c r="AM142" s="7">
        <v>2004</v>
      </c>
      <c r="AN142" s="298"/>
      <c r="AO142" s="13">
        <v>441</v>
      </c>
      <c r="AP142" s="73">
        <f>296+210</f>
        <v>506</v>
      </c>
      <c r="AQ142" s="40" t="s">
        <v>541</v>
      </c>
      <c r="AR142" s="255">
        <f>AO142-AP142-20</f>
        <v>-85</v>
      </c>
      <c r="AS142" s="6">
        <v>2016</v>
      </c>
      <c r="AT142" s="112"/>
    </row>
    <row r="143" spans="1:46" ht="48" customHeight="1">
      <c r="A143" s="41" t="s">
        <v>604</v>
      </c>
      <c r="B143" s="8" t="s">
        <v>490</v>
      </c>
      <c r="C143" s="6"/>
      <c r="D143" s="7"/>
      <c r="E143" s="7">
        <v>1000</v>
      </c>
      <c r="F143" s="17">
        <v>2</v>
      </c>
      <c r="G143" s="19"/>
      <c r="H143" s="17"/>
      <c r="I143" s="19"/>
      <c r="J143" s="19"/>
      <c r="K143" s="17"/>
      <c r="L143" s="17"/>
      <c r="M143" s="19"/>
      <c r="N143" s="17"/>
      <c r="O143" s="20"/>
      <c r="P143" s="7"/>
      <c r="Q143" s="7"/>
      <c r="R143" s="7"/>
      <c r="S143" s="7"/>
      <c r="T143" s="14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7"/>
      <c r="AI143" s="7"/>
      <c r="AJ143" s="17"/>
      <c r="AK143" s="17"/>
      <c r="AL143" s="17"/>
      <c r="AM143" s="7"/>
      <c r="AN143" s="8" t="s">
        <v>414</v>
      </c>
      <c r="AO143" s="13">
        <v>700</v>
      </c>
      <c r="AP143" s="73">
        <v>190</v>
      </c>
      <c r="AQ143" s="40" t="s">
        <v>703</v>
      </c>
      <c r="AR143" s="255">
        <f>AO143-AP143-0-140</f>
        <v>370</v>
      </c>
      <c r="AS143" s="6"/>
      <c r="AT143" s="112"/>
    </row>
    <row r="144" spans="1:46" ht="54" customHeight="1">
      <c r="A144" s="41" t="s">
        <v>605</v>
      </c>
      <c r="B144" s="8" t="s">
        <v>577</v>
      </c>
      <c r="C144" s="6"/>
      <c r="D144" s="7"/>
      <c r="E144" s="7">
        <v>1250</v>
      </c>
      <c r="F144" s="17">
        <v>2</v>
      </c>
      <c r="G144" s="19"/>
      <c r="H144" s="17"/>
      <c r="I144" s="19"/>
      <c r="J144" s="19"/>
      <c r="K144" s="17"/>
      <c r="L144" s="17"/>
      <c r="M144" s="19"/>
      <c r="N144" s="17"/>
      <c r="O144" s="20"/>
      <c r="P144" s="7"/>
      <c r="Q144" s="7"/>
      <c r="R144" s="7"/>
      <c r="S144" s="7"/>
      <c r="T144" s="14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7"/>
      <c r="AI144" s="7"/>
      <c r="AJ144" s="17"/>
      <c r="AK144" s="17"/>
      <c r="AL144" s="17"/>
      <c r="AM144" s="7"/>
      <c r="AN144" s="8" t="s">
        <v>441</v>
      </c>
      <c r="AO144" s="13">
        <v>875</v>
      </c>
      <c r="AP144" s="73">
        <v>230</v>
      </c>
      <c r="AQ144" s="40">
        <v>0</v>
      </c>
      <c r="AR144" s="255">
        <f>AO144-AP144-AQ144</f>
        <v>645</v>
      </c>
      <c r="AS144" s="6"/>
      <c r="AT144" s="112"/>
    </row>
    <row r="145" spans="1:46" ht="54" customHeight="1">
      <c r="A145" s="41" t="s">
        <v>695</v>
      </c>
      <c r="B145" s="8" t="s">
        <v>698</v>
      </c>
      <c r="C145" s="6"/>
      <c r="D145" s="7"/>
      <c r="E145" s="7">
        <v>1000</v>
      </c>
      <c r="F145" s="17">
        <v>2</v>
      </c>
      <c r="G145" s="19"/>
      <c r="H145" s="17"/>
      <c r="I145" s="19"/>
      <c r="J145" s="19"/>
      <c r="K145" s="17"/>
      <c r="L145" s="17"/>
      <c r="M145" s="19"/>
      <c r="N145" s="17"/>
      <c r="O145" s="20"/>
      <c r="P145" s="7"/>
      <c r="Q145" s="7"/>
      <c r="R145" s="7"/>
      <c r="S145" s="7"/>
      <c r="T145" s="14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7"/>
      <c r="AI145" s="7"/>
      <c r="AJ145" s="17"/>
      <c r="AK145" s="17"/>
      <c r="AL145" s="17"/>
      <c r="AM145" s="7"/>
      <c r="AN145" s="8" t="s">
        <v>697</v>
      </c>
      <c r="AO145" s="13">
        <v>1400</v>
      </c>
      <c r="AP145" s="73">
        <v>0</v>
      </c>
      <c r="AQ145" s="40">
        <v>0</v>
      </c>
      <c r="AR145" s="255">
        <f>AO145-AP145-AQ145</f>
        <v>1400</v>
      </c>
      <c r="AS145" s="6"/>
      <c r="AT145" s="112"/>
    </row>
    <row r="146" spans="1:46" ht="54" customHeight="1">
      <c r="A146" s="41" t="s">
        <v>696</v>
      </c>
      <c r="B146" s="8" t="s">
        <v>699</v>
      </c>
      <c r="C146" s="6"/>
      <c r="D146" s="7"/>
      <c r="E146" s="7">
        <v>1000</v>
      </c>
      <c r="F146" s="17">
        <v>2</v>
      </c>
      <c r="G146" s="19"/>
      <c r="H146" s="17"/>
      <c r="I146" s="19"/>
      <c r="J146" s="19"/>
      <c r="K146" s="17"/>
      <c r="L146" s="17"/>
      <c r="M146" s="19"/>
      <c r="N146" s="17"/>
      <c r="O146" s="20"/>
      <c r="P146" s="7"/>
      <c r="Q146" s="7"/>
      <c r="R146" s="7"/>
      <c r="S146" s="7"/>
      <c r="T146" s="14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7"/>
      <c r="AI146" s="7"/>
      <c r="AJ146" s="17"/>
      <c r="AK146" s="17"/>
      <c r="AL146" s="17"/>
      <c r="AM146" s="7"/>
      <c r="AN146" s="8" t="s">
        <v>697</v>
      </c>
      <c r="AO146" s="13">
        <v>1400</v>
      </c>
      <c r="AP146" s="73">
        <f>15+15</f>
        <v>30</v>
      </c>
      <c r="AQ146" s="40">
        <f>15+15+15+15+15+15+15+15+15+15+15+15+15+15+15+15+15+15+15+15-15-15</f>
        <v>270</v>
      </c>
      <c r="AR146" s="255">
        <f>AO146-AP146-AQ146</f>
        <v>1100</v>
      </c>
      <c r="AS146" s="6"/>
      <c r="AT146" s="112"/>
    </row>
    <row r="147" spans="1:46" s="169" customFormat="1" ht="30" customHeight="1">
      <c r="A147" s="164" t="s">
        <v>606</v>
      </c>
      <c r="B147" s="165" t="s">
        <v>31</v>
      </c>
      <c r="C147" s="180" t="s">
        <v>230</v>
      </c>
      <c r="D147" s="181"/>
      <c r="E147" s="165">
        <v>40</v>
      </c>
      <c r="F147" s="165">
        <v>2</v>
      </c>
      <c r="G147" s="165">
        <v>22</v>
      </c>
      <c r="H147" s="165">
        <v>22</v>
      </c>
      <c r="I147" s="165">
        <v>18</v>
      </c>
      <c r="J147" s="165">
        <v>14</v>
      </c>
      <c r="K147" s="165">
        <v>18</v>
      </c>
      <c r="L147" s="165"/>
      <c r="M147" s="165"/>
      <c r="N147" s="165"/>
      <c r="O147" s="165">
        <v>1</v>
      </c>
      <c r="P147" s="165">
        <v>1</v>
      </c>
      <c r="Q147" s="165"/>
      <c r="R147" s="165">
        <v>6</v>
      </c>
      <c r="S147" s="165"/>
      <c r="T147" s="182">
        <v>22</v>
      </c>
      <c r="U147" s="165">
        <v>20</v>
      </c>
      <c r="V147" s="165">
        <v>2</v>
      </c>
      <c r="W147" s="165"/>
      <c r="X147" s="165">
        <v>63</v>
      </c>
      <c r="Y147" s="165">
        <v>1</v>
      </c>
      <c r="Z147" s="165"/>
      <c r="AA147" s="165"/>
      <c r="AB147" s="165"/>
      <c r="AC147" s="165"/>
      <c r="AD147" s="165"/>
      <c r="AE147" s="165"/>
      <c r="AF147" s="165"/>
      <c r="AG147" s="165"/>
      <c r="AH147" s="165">
        <v>2</v>
      </c>
      <c r="AI147" s="165">
        <v>0</v>
      </c>
      <c r="AJ147" s="165">
        <v>2</v>
      </c>
      <c r="AK147" s="165">
        <v>18</v>
      </c>
      <c r="AL147" s="165">
        <v>0</v>
      </c>
      <c r="AM147" s="183">
        <v>1987</v>
      </c>
      <c r="AN147" s="165" t="s">
        <v>32</v>
      </c>
      <c r="AO147" s="182">
        <v>7500</v>
      </c>
      <c r="AP147" s="175">
        <f>SUM(AP148:AP161)</f>
        <v>4732</v>
      </c>
      <c r="AQ147" s="165">
        <f>SUM(AQ148:AQ161)</f>
        <v>2487.1800000000003</v>
      </c>
      <c r="AR147" s="265">
        <f>SUM(AR148:AR161)</f>
        <v>3644.8200000000006</v>
      </c>
      <c r="AS147" s="166"/>
      <c r="AT147" s="116"/>
    </row>
    <row r="148" spans="1:46" ht="30" customHeight="1">
      <c r="A148" s="41" t="s">
        <v>607</v>
      </c>
      <c r="B148" s="45" t="s">
        <v>151</v>
      </c>
      <c r="C148" s="6" t="s">
        <v>251</v>
      </c>
      <c r="D148" s="7" t="s">
        <v>0</v>
      </c>
      <c r="E148" s="7">
        <v>630</v>
      </c>
      <c r="F148" s="17">
        <v>2</v>
      </c>
      <c r="G148" s="19"/>
      <c r="H148" s="17"/>
      <c r="I148" s="19"/>
      <c r="J148" s="19">
        <v>2</v>
      </c>
      <c r="K148" s="17"/>
      <c r="L148" s="17"/>
      <c r="M148" s="19"/>
      <c r="N148" s="17"/>
      <c r="O148" s="19"/>
      <c r="P148" s="17"/>
      <c r="Q148" s="17"/>
      <c r="R148" s="17"/>
      <c r="S148" s="17"/>
      <c r="T148" s="14">
        <v>3</v>
      </c>
      <c r="U148" s="9">
        <v>22</v>
      </c>
      <c r="V148" s="9">
        <v>2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7">
        <v>0</v>
      </c>
      <c r="AI148" s="7">
        <v>0</v>
      </c>
      <c r="AJ148" s="17">
        <v>0</v>
      </c>
      <c r="AK148" s="17">
        <v>0</v>
      </c>
      <c r="AL148" s="17">
        <v>2</v>
      </c>
      <c r="AM148" s="7">
        <v>1996</v>
      </c>
      <c r="AN148" s="298" t="s">
        <v>32</v>
      </c>
      <c r="AO148" s="13">
        <v>882</v>
      </c>
      <c r="AP148" s="73">
        <v>230</v>
      </c>
      <c r="AQ148" s="40">
        <f>22.5+20</f>
        <v>42.5</v>
      </c>
      <c r="AR148" s="255">
        <f aca="true" t="shared" si="8" ref="AR148:AR159">AO148-AP148-AQ148</f>
        <v>609.5</v>
      </c>
      <c r="AS148" s="6"/>
      <c r="AT148" s="112"/>
    </row>
    <row r="149" spans="1:46" ht="30" customHeight="1">
      <c r="A149" s="41" t="s">
        <v>608</v>
      </c>
      <c r="B149" s="8" t="s">
        <v>152</v>
      </c>
      <c r="C149" s="6" t="s">
        <v>230</v>
      </c>
      <c r="D149" s="7" t="s">
        <v>0</v>
      </c>
      <c r="E149" s="7">
        <v>630</v>
      </c>
      <c r="F149" s="17">
        <v>2</v>
      </c>
      <c r="G149" s="19">
        <v>6</v>
      </c>
      <c r="H149" s="17">
        <v>6</v>
      </c>
      <c r="I149" s="19"/>
      <c r="J149" s="19">
        <v>6</v>
      </c>
      <c r="K149" s="17"/>
      <c r="L149" s="17"/>
      <c r="M149" s="19"/>
      <c r="N149" s="17"/>
      <c r="O149" s="20">
        <v>6</v>
      </c>
      <c r="P149" s="7">
        <v>6</v>
      </c>
      <c r="Q149" s="7">
        <v>2</v>
      </c>
      <c r="R149" s="7"/>
      <c r="S149" s="7"/>
      <c r="T149" s="14">
        <v>2</v>
      </c>
      <c r="U149" s="9">
        <v>18</v>
      </c>
      <c r="V149" s="9">
        <v>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7">
        <v>0</v>
      </c>
      <c r="AI149" s="7">
        <v>0</v>
      </c>
      <c r="AJ149" s="17">
        <v>0</v>
      </c>
      <c r="AK149" s="17">
        <v>0</v>
      </c>
      <c r="AL149" s="17">
        <v>2</v>
      </c>
      <c r="AM149" s="7">
        <v>1988</v>
      </c>
      <c r="AN149" s="298"/>
      <c r="AO149" s="13">
        <v>882</v>
      </c>
      <c r="AP149" s="73">
        <v>127</v>
      </c>
      <c r="AQ149" s="40">
        <v>103.2</v>
      </c>
      <c r="AR149" s="255">
        <f t="shared" si="8"/>
        <v>651.8</v>
      </c>
      <c r="AS149" s="6"/>
      <c r="AT149" s="112"/>
    </row>
    <row r="150" spans="1:46" ht="30" customHeight="1">
      <c r="A150" s="41" t="s">
        <v>609</v>
      </c>
      <c r="B150" s="8" t="s">
        <v>153</v>
      </c>
      <c r="C150" s="6" t="s">
        <v>230</v>
      </c>
      <c r="D150" s="7" t="s">
        <v>0</v>
      </c>
      <c r="E150" s="7">
        <v>630</v>
      </c>
      <c r="F150" s="17">
        <v>2</v>
      </c>
      <c r="G150" s="19">
        <v>6</v>
      </c>
      <c r="H150" s="17">
        <v>6</v>
      </c>
      <c r="I150" s="19"/>
      <c r="J150" s="19">
        <v>6</v>
      </c>
      <c r="K150" s="17"/>
      <c r="L150" s="17"/>
      <c r="M150" s="19"/>
      <c r="N150" s="17"/>
      <c r="O150" s="20">
        <v>4</v>
      </c>
      <c r="P150" s="7">
        <v>4</v>
      </c>
      <c r="Q150" s="7">
        <v>4</v>
      </c>
      <c r="R150" s="7"/>
      <c r="S150" s="7"/>
      <c r="T150" s="14">
        <v>2</v>
      </c>
      <c r="U150" s="9">
        <v>18</v>
      </c>
      <c r="V150" s="9">
        <v>2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7">
        <v>0</v>
      </c>
      <c r="AI150" s="7">
        <v>0</v>
      </c>
      <c r="AJ150" s="17">
        <v>0</v>
      </c>
      <c r="AK150" s="17">
        <v>0</v>
      </c>
      <c r="AL150" s="17">
        <v>2</v>
      </c>
      <c r="AM150" s="7">
        <v>1988</v>
      </c>
      <c r="AN150" s="298"/>
      <c r="AO150" s="13">
        <v>882</v>
      </c>
      <c r="AP150" s="73">
        <f>270+1</f>
        <v>271</v>
      </c>
      <c r="AQ150" s="40">
        <f>34-1</f>
        <v>33</v>
      </c>
      <c r="AR150" s="255">
        <f t="shared" si="8"/>
        <v>578</v>
      </c>
      <c r="AS150" s="6" t="s">
        <v>356</v>
      </c>
      <c r="AT150" s="112"/>
    </row>
    <row r="151" spans="1:46" ht="30" customHeight="1">
      <c r="A151" s="41" t="s">
        <v>610</v>
      </c>
      <c r="B151" s="8" t="s">
        <v>154</v>
      </c>
      <c r="C151" s="6" t="s">
        <v>230</v>
      </c>
      <c r="D151" s="7" t="s">
        <v>0</v>
      </c>
      <c r="E151" s="7">
        <v>630</v>
      </c>
      <c r="F151" s="17">
        <v>1</v>
      </c>
      <c r="G151" s="19">
        <v>4</v>
      </c>
      <c r="H151" s="17">
        <v>4</v>
      </c>
      <c r="I151" s="19"/>
      <c r="J151" s="19">
        <v>4</v>
      </c>
      <c r="K151" s="17"/>
      <c r="L151" s="17"/>
      <c r="M151" s="19"/>
      <c r="N151" s="17"/>
      <c r="O151" s="20">
        <v>2</v>
      </c>
      <c r="P151" s="7">
        <v>2</v>
      </c>
      <c r="Q151" s="7">
        <v>2</v>
      </c>
      <c r="R151" s="7"/>
      <c r="S151" s="7"/>
      <c r="T151" s="14">
        <v>1</v>
      </c>
      <c r="U151" s="9">
        <v>12</v>
      </c>
      <c r="V151" s="9">
        <v>1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7">
        <v>0</v>
      </c>
      <c r="AI151" s="7">
        <v>0</v>
      </c>
      <c r="AJ151" s="17">
        <v>0</v>
      </c>
      <c r="AK151" s="17">
        <v>0</v>
      </c>
      <c r="AL151" s="17">
        <v>1</v>
      </c>
      <c r="AM151" s="7">
        <v>1989</v>
      </c>
      <c r="AN151" s="298"/>
      <c r="AO151" s="7">
        <v>441</v>
      </c>
      <c r="AP151" s="73">
        <v>210</v>
      </c>
      <c r="AQ151" s="40">
        <f>200-200</f>
        <v>0</v>
      </c>
      <c r="AR151" s="255">
        <f t="shared" si="8"/>
        <v>231</v>
      </c>
      <c r="AS151" s="6"/>
      <c r="AT151" s="112"/>
    </row>
    <row r="152" spans="1:46" ht="30" customHeight="1">
      <c r="A152" s="41" t="s">
        <v>611</v>
      </c>
      <c r="B152" s="8" t="s">
        <v>155</v>
      </c>
      <c r="C152" s="6" t="s">
        <v>230</v>
      </c>
      <c r="D152" s="7" t="s">
        <v>0</v>
      </c>
      <c r="E152" s="7">
        <v>630</v>
      </c>
      <c r="F152" s="17">
        <v>2</v>
      </c>
      <c r="G152" s="19">
        <v>8</v>
      </c>
      <c r="H152" s="17">
        <v>8</v>
      </c>
      <c r="I152" s="19"/>
      <c r="J152" s="19">
        <v>6</v>
      </c>
      <c r="K152" s="17"/>
      <c r="L152" s="17"/>
      <c r="M152" s="19"/>
      <c r="N152" s="17"/>
      <c r="O152" s="20">
        <v>4</v>
      </c>
      <c r="P152" s="7">
        <v>4</v>
      </c>
      <c r="Q152" s="7">
        <v>6</v>
      </c>
      <c r="R152" s="7"/>
      <c r="S152" s="7"/>
      <c r="T152" s="14">
        <v>2</v>
      </c>
      <c r="U152" s="9">
        <v>29</v>
      </c>
      <c r="V152" s="9">
        <v>2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7">
        <v>0</v>
      </c>
      <c r="AI152" s="7">
        <v>0</v>
      </c>
      <c r="AJ152" s="17">
        <v>0</v>
      </c>
      <c r="AK152" s="17">
        <v>0</v>
      </c>
      <c r="AL152" s="17">
        <v>2</v>
      </c>
      <c r="AM152" s="7">
        <v>1990</v>
      </c>
      <c r="AN152" s="298"/>
      <c r="AO152" s="13">
        <v>882</v>
      </c>
      <c r="AP152" s="73">
        <v>427</v>
      </c>
      <c r="AQ152" s="40">
        <f>100+100+45+96+200+47</f>
        <v>588</v>
      </c>
      <c r="AR152" s="255">
        <f t="shared" si="8"/>
        <v>-133</v>
      </c>
      <c r="AS152" s="6"/>
      <c r="AT152" s="112"/>
    </row>
    <row r="153" spans="1:46" ht="30" customHeight="1">
      <c r="A153" s="41" t="s">
        <v>612</v>
      </c>
      <c r="B153" s="8" t="s">
        <v>156</v>
      </c>
      <c r="C153" s="6" t="s">
        <v>230</v>
      </c>
      <c r="D153" s="7" t="s">
        <v>0</v>
      </c>
      <c r="E153" s="7">
        <v>630</v>
      </c>
      <c r="F153" s="17">
        <v>1</v>
      </c>
      <c r="G153" s="19">
        <v>4</v>
      </c>
      <c r="H153" s="17">
        <v>4</v>
      </c>
      <c r="I153" s="19"/>
      <c r="J153" s="19">
        <v>4</v>
      </c>
      <c r="K153" s="17"/>
      <c r="L153" s="17"/>
      <c r="M153" s="19"/>
      <c r="N153" s="17"/>
      <c r="O153" s="20"/>
      <c r="P153" s="7"/>
      <c r="Q153" s="7">
        <v>4</v>
      </c>
      <c r="R153" s="7"/>
      <c r="S153" s="7"/>
      <c r="T153" s="14">
        <v>1</v>
      </c>
      <c r="U153" s="9">
        <v>14</v>
      </c>
      <c r="V153" s="9">
        <v>1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7">
        <v>0</v>
      </c>
      <c r="AI153" s="7">
        <v>0</v>
      </c>
      <c r="AJ153" s="17">
        <v>0</v>
      </c>
      <c r="AK153" s="17">
        <v>0</v>
      </c>
      <c r="AL153" s="17">
        <v>1</v>
      </c>
      <c r="AM153" s="7">
        <v>1991</v>
      </c>
      <c r="AN153" s="298"/>
      <c r="AO153" s="7">
        <v>441</v>
      </c>
      <c r="AP153" s="73">
        <v>210</v>
      </c>
      <c r="AQ153" s="40">
        <f>47+70+50+66.28+47+14</f>
        <v>294.28</v>
      </c>
      <c r="AR153" s="255">
        <f t="shared" si="8"/>
        <v>-63.27999999999997</v>
      </c>
      <c r="AS153" s="6"/>
      <c r="AT153" s="112"/>
    </row>
    <row r="154" spans="1:46" ht="30" customHeight="1">
      <c r="A154" s="41" t="s">
        <v>613</v>
      </c>
      <c r="B154" s="8" t="s">
        <v>157</v>
      </c>
      <c r="C154" s="6" t="s">
        <v>230</v>
      </c>
      <c r="D154" s="7" t="s">
        <v>0</v>
      </c>
      <c r="E154" s="7">
        <v>630</v>
      </c>
      <c r="F154" s="17">
        <v>2</v>
      </c>
      <c r="G154" s="19">
        <v>6</v>
      </c>
      <c r="H154" s="17">
        <v>6</v>
      </c>
      <c r="I154" s="19"/>
      <c r="J154" s="19">
        <v>6</v>
      </c>
      <c r="K154" s="17"/>
      <c r="L154" s="17"/>
      <c r="M154" s="19"/>
      <c r="N154" s="17"/>
      <c r="O154" s="20">
        <v>2</v>
      </c>
      <c r="P154" s="7">
        <v>2</v>
      </c>
      <c r="Q154" s="7">
        <v>6</v>
      </c>
      <c r="R154" s="7"/>
      <c r="S154" s="7"/>
      <c r="T154" s="14">
        <v>2</v>
      </c>
      <c r="U154" s="9">
        <v>25</v>
      </c>
      <c r="V154" s="9">
        <v>2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7">
        <v>0</v>
      </c>
      <c r="AI154" s="7">
        <v>0</v>
      </c>
      <c r="AJ154" s="17">
        <v>0</v>
      </c>
      <c r="AK154" s="17">
        <v>0</v>
      </c>
      <c r="AL154" s="17">
        <v>2</v>
      </c>
      <c r="AM154" s="7">
        <v>1989</v>
      </c>
      <c r="AN154" s="298"/>
      <c r="AO154" s="13">
        <v>882</v>
      </c>
      <c r="AP154" s="73">
        <f>362+30</f>
        <v>392</v>
      </c>
      <c r="AQ154" s="40">
        <f>120+70+30-30</f>
        <v>190</v>
      </c>
      <c r="AR154" s="255">
        <f t="shared" si="8"/>
        <v>300</v>
      </c>
      <c r="AS154" s="6"/>
      <c r="AT154" s="112"/>
    </row>
    <row r="155" spans="1:46" ht="30" customHeight="1">
      <c r="A155" s="41" t="s">
        <v>614</v>
      </c>
      <c r="B155" s="8" t="s">
        <v>166</v>
      </c>
      <c r="C155" s="6" t="s">
        <v>230</v>
      </c>
      <c r="D155" s="7" t="s">
        <v>0</v>
      </c>
      <c r="E155" s="7">
        <v>630</v>
      </c>
      <c r="F155" s="17">
        <v>2</v>
      </c>
      <c r="G155" s="19">
        <v>6</v>
      </c>
      <c r="H155" s="17">
        <v>6</v>
      </c>
      <c r="I155" s="19"/>
      <c r="J155" s="19">
        <v>6</v>
      </c>
      <c r="K155" s="17"/>
      <c r="L155" s="17"/>
      <c r="M155" s="19"/>
      <c r="N155" s="17"/>
      <c r="O155" s="20">
        <v>2</v>
      </c>
      <c r="P155" s="7">
        <v>2</v>
      </c>
      <c r="Q155" s="7">
        <v>6</v>
      </c>
      <c r="R155" s="7"/>
      <c r="S155" s="7"/>
      <c r="T155" s="14">
        <v>2</v>
      </c>
      <c r="U155" s="9">
        <v>30</v>
      </c>
      <c r="V155" s="9">
        <v>2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7">
        <v>0</v>
      </c>
      <c r="AI155" s="7">
        <v>0</v>
      </c>
      <c r="AJ155" s="17">
        <v>0</v>
      </c>
      <c r="AK155" s="17">
        <v>0</v>
      </c>
      <c r="AL155" s="17">
        <v>2</v>
      </c>
      <c r="AM155" s="7">
        <v>1988</v>
      </c>
      <c r="AN155" s="298" t="s">
        <v>167</v>
      </c>
      <c r="AO155" s="13">
        <v>882</v>
      </c>
      <c r="AP155" s="73">
        <v>460</v>
      </c>
      <c r="AQ155" s="40">
        <f>70+13</f>
        <v>83</v>
      </c>
      <c r="AR155" s="255">
        <f t="shared" si="8"/>
        <v>339</v>
      </c>
      <c r="AS155" s="6">
        <v>2012</v>
      </c>
      <c r="AT155" s="112"/>
    </row>
    <row r="156" spans="1:46" ht="30" customHeight="1">
      <c r="A156" s="41" t="s">
        <v>615</v>
      </c>
      <c r="B156" s="8" t="s">
        <v>168</v>
      </c>
      <c r="C156" s="6" t="s">
        <v>230</v>
      </c>
      <c r="D156" s="7" t="s">
        <v>0</v>
      </c>
      <c r="E156" s="7">
        <v>630</v>
      </c>
      <c r="F156" s="17">
        <v>2</v>
      </c>
      <c r="G156" s="19">
        <v>6</v>
      </c>
      <c r="H156" s="17">
        <v>6</v>
      </c>
      <c r="I156" s="19"/>
      <c r="J156" s="19">
        <v>6</v>
      </c>
      <c r="K156" s="17"/>
      <c r="L156" s="17"/>
      <c r="M156" s="19"/>
      <c r="N156" s="17"/>
      <c r="O156" s="20">
        <v>2</v>
      </c>
      <c r="P156" s="7">
        <v>2</v>
      </c>
      <c r="Q156" s="7">
        <v>6</v>
      </c>
      <c r="R156" s="7"/>
      <c r="S156" s="7"/>
      <c r="T156" s="14">
        <v>2</v>
      </c>
      <c r="U156" s="9">
        <v>26</v>
      </c>
      <c r="V156" s="9">
        <v>2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7">
        <v>0</v>
      </c>
      <c r="AI156" s="7">
        <v>0</v>
      </c>
      <c r="AJ156" s="17">
        <v>0</v>
      </c>
      <c r="AK156" s="17">
        <v>0</v>
      </c>
      <c r="AL156" s="17">
        <v>2</v>
      </c>
      <c r="AM156" s="7">
        <v>1989</v>
      </c>
      <c r="AN156" s="298"/>
      <c r="AO156" s="13">
        <v>882</v>
      </c>
      <c r="AP156" s="73">
        <v>495</v>
      </c>
      <c r="AQ156" s="40">
        <f>160+25</f>
        <v>185</v>
      </c>
      <c r="AR156" s="255">
        <f t="shared" si="8"/>
        <v>202</v>
      </c>
      <c r="AS156" s="6"/>
      <c r="AT156" s="112"/>
    </row>
    <row r="157" spans="1:46" ht="30" customHeight="1">
      <c r="A157" s="41" t="s">
        <v>616</v>
      </c>
      <c r="B157" s="8" t="s">
        <v>169</v>
      </c>
      <c r="C157" s="6" t="s">
        <v>230</v>
      </c>
      <c r="D157" s="7" t="s">
        <v>0</v>
      </c>
      <c r="E157" s="7">
        <v>630</v>
      </c>
      <c r="F157" s="17">
        <v>2</v>
      </c>
      <c r="G157" s="19">
        <v>6</v>
      </c>
      <c r="H157" s="17">
        <v>6</v>
      </c>
      <c r="I157" s="19"/>
      <c r="J157" s="19">
        <v>6</v>
      </c>
      <c r="K157" s="17"/>
      <c r="L157" s="17"/>
      <c r="M157" s="19"/>
      <c r="N157" s="17"/>
      <c r="O157" s="20">
        <v>6</v>
      </c>
      <c r="P157" s="7">
        <v>6</v>
      </c>
      <c r="Q157" s="7">
        <v>2</v>
      </c>
      <c r="R157" s="7"/>
      <c r="S157" s="7"/>
      <c r="T157" s="14">
        <v>2</v>
      </c>
      <c r="U157" s="9">
        <v>29</v>
      </c>
      <c r="V157" s="9">
        <v>2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7">
        <v>0</v>
      </c>
      <c r="AI157" s="7">
        <v>0</v>
      </c>
      <c r="AJ157" s="17">
        <v>0</v>
      </c>
      <c r="AK157" s="17">
        <v>0</v>
      </c>
      <c r="AL157" s="17">
        <v>2</v>
      </c>
      <c r="AM157" s="7">
        <v>1990</v>
      </c>
      <c r="AN157" s="298"/>
      <c r="AO157" s="13">
        <v>882</v>
      </c>
      <c r="AP157" s="73">
        <v>329</v>
      </c>
      <c r="AQ157" s="40">
        <f>335+15</f>
        <v>350</v>
      </c>
      <c r="AR157" s="255">
        <f t="shared" si="8"/>
        <v>203</v>
      </c>
      <c r="AS157" s="6">
        <v>2012</v>
      </c>
      <c r="AT157" s="112"/>
    </row>
    <row r="158" spans="1:46" ht="30" customHeight="1">
      <c r="A158" s="41" t="s">
        <v>617</v>
      </c>
      <c r="B158" s="8" t="s">
        <v>170</v>
      </c>
      <c r="C158" s="6" t="s">
        <v>230</v>
      </c>
      <c r="D158" s="7" t="s">
        <v>0</v>
      </c>
      <c r="E158" s="7">
        <v>630</v>
      </c>
      <c r="F158" s="17">
        <v>2</v>
      </c>
      <c r="G158" s="19">
        <v>6</v>
      </c>
      <c r="H158" s="17">
        <v>6</v>
      </c>
      <c r="I158" s="19"/>
      <c r="J158" s="19">
        <v>6</v>
      </c>
      <c r="K158" s="17"/>
      <c r="L158" s="17"/>
      <c r="M158" s="19"/>
      <c r="N158" s="17"/>
      <c r="O158" s="20">
        <v>6</v>
      </c>
      <c r="P158" s="7">
        <v>6</v>
      </c>
      <c r="Q158" s="7">
        <v>2</v>
      </c>
      <c r="R158" s="7"/>
      <c r="S158" s="7"/>
      <c r="T158" s="14">
        <v>2</v>
      </c>
      <c r="U158" s="9">
        <v>30</v>
      </c>
      <c r="V158" s="9">
        <v>2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7">
        <v>0</v>
      </c>
      <c r="AI158" s="7">
        <v>0</v>
      </c>
      <c r="AJ158" s="17">
        <v>0</v>
      </c>
      <c r="AK158" s="17">
        <v>0</v>
      </c>
      <c r="AL158" s="17">
        <v>2</v>
      </c>
      <c r="AM158" s="7">
        <v>1991</v>
      </c>
      <c r="AN158" s="298"/>
      <c r="AO158" s="13">
        <v>882</v>
      </c>
      <c r="AP158" s="73">
        <f>330+275</f>
        <v>605</v>
      </c>
      <c r="AQ158" s="40">
        <f>160+70+18.2+275-275</f>
        <v>248.20000000000005</v>
      </c>
      <c r="AR158" s="255">
        <f t="shared" si="8"/>
        <v>28.799999999999955</v>
      </c>
      <c r="AS158" s="6"/>
      <c r="AT158" s="112"/>
    </row>
    <row r="159" spans="1:46" ht="30" customHeight="1">
      <c r="A159" s="41" t="s">
        <v>618</v>
      </c>
      <c r="B159" s="8" t="s">
        <v>171</v>
      </c>
      <c r="C159" s="6" t="s">
        <v>172</v>
      </c>
      <c r="D159" s="7" t="s">
        <v>0</v>
      </c>
      <c r="E159" s="7">
        <v>630</v>
      </c>
      <c r="F159" s="17">
        <v>2</v>
      </c>
      <c r="G159" s="19">
        <v>8</v>
      </c>
      <c r="H159" s="17">
        <v>8</v>
      </c>
      <c r="I159" s="19"/>
      <c r="J159" s="19">
        <v>6</v>
      </c>
      <c r="K159" s="17"/>
      <c r="L159" s="17"/>
      <c r="M159" s="19"/>
      <c r="N159" s="17"/>
      <c r="O159" s="20">
        <v>2</v>
      </c>
      <c r="P159" s="7">
        <v>2</v>
      </c>
      <c r="Q159" s="7">
        <v>8</v>
      </c>
      <c r="R159" s="7"/>
      <c r="S159" s="7"/>
      <c r="T159" s="14">
        <v>2</v>
      </c>
      <c r="U159" s="9">
        <v>31</v>
      </c>
      <c r="V159" s="9">
        <v>2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7">
        <v>0</v>
      </c>
      <c r="AI159" s="7">
        <v>0</v>
      </c>
      <c r="AJ159" s="17">
        <v>0</v>
      </c>
      <c r="AK159" s="17">
        <v>0</v>
      </c>
      <c r="AL159" s="17">
        <v>2</v>
      </c>
      <c r="AM159" s="7">
        <v>2003</v>
      </c>
      <c r="AN159" s="298"/>
      <c r="AO159" s="13">
        <v>882</v>
      </c>
      <c r="AP159" s="73">
        <v>526</v>
      </c>
      <c r="AQ159" s="40">
        <f>300+70</f>
        <v>370</v>
      </c>
      <c r="AR159" s="255">
        <f t="shared" si="8"/>
        <v>-14</v>
      </c>
      <c r="AS159" s="6">
        <v>2012</v>
      </c>
      <c r="AT159" s="112"/>
    </row>
    <row r="160" spans="1:45" ht="30" customHeight="1">
      <c r="A160" s="41" t="s">
        <v>619</v>
      </c>
      <c r="B160" s="8" t="s">
        <v>554</v>
      </c>
      <c r="C160" s="6" t="s">
        <v>239</v>
      </c>
      <c r="D160" s="7" t="s">
        <v>0</v>
      </c>
      <c r="E160" s="7">
        <v>400</v>
      </c>
      <c r="F160" s="17">
        <v>1</v>
      </c>
      <c r="G160" s="19">
        <v>6</v>
      </c>
      <c r="H160" s="17">
        <v>6</v>
      </c>
      <c r="I160" s="19"/>
      <c r="J160" s="19">
        <v>6</v>
      </c>
      <c r="K160" s="17"/>
      <c r="L160" s="17"/>
      <c r="M160" s="19"/>
      <c r="N160" s="17"/>
      <c r="O160" s="20">
        <v>2</v>
      </c>
      <c r="P160" s="7">
        <v>2</v>
      </c>
      <c r="Q160" s="7">
        <v>6</v>
      </c>
      <c r="R160" s="7"/>
      <c r="S160" s="7"/>
      <c r="T160" s="14">
        <v>2</v>
      </c>
      <c r="U160" s="9">
        <v>30</v>
      </c>
      <c r="V160" s="9">
        <v>2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7">
        <v>0</v>
      </c>
      <c r="AI160" s="7">
        <v>0</v>
      </c>
      <c r="AJ160" s="17">
        <v>0</v>
      </c>
      <c r="AK160" s="17">
        <v>0</v>
      </c>
      <c r="AL160" s="17">
        <v>2</v>
      </c>
      <c r="AM160" s="7">
        <v>2015</v>
      </c>
      <c r="AN160" s="298"/>
      <c r="AO160" s="7">
        <v>280</v>
      </c>
      <c r="AP160" s="73">
        <v>22</v>
      </c>
      <c r="AQ160" s="40">
        <f>150-150</f>
        <v>0</v>
      </c>
      <c r="AR160" s="255">
        <f>AO160-AP160-AQ160</f>
        <v>258</v>
      </c>
      <c r="AS160" s="6">
        <v>2012</v>
      </c>
    </row>
    <row r="161" spans="1:46" ht="30" customHeight="1">
      <c r="A161" s="41" t="s">
        <v>620</v>
      </c>
      <c r="B161" s="8" t="s">
        <v>173</v>
      </c>
      <c r="C161" s="6" t="s">
        <v>239</v>
      </c>
      <c r="D161" s="7" t="s">
        <v>0</v>
      </c>
      <c r="E161" s="7">
        <v>630</v>
      </c>
      <c r="F161" s="17">
        <v>2</v>
      </c>
      <c r="G161" s="19">
        <v>6</v>
      </c>
      <c r="H161" s="17">
        <v>6</v>
      </c>
      <c r="I161" s="19"/>
      <c r="J161" s="19">
        <v>6</v>
      </c>
      <c r="K161" s="17"/>
      <c r="L161" s="17"/>
      <c r="M161" s="19"/>
      <c r="N161" s="17"/>
      <c r="O161" s="20">
        <v>2</v>
      </c>
      <c r="P161" s="7">
        <v>2</v>
      </c>
      <c r="Q161" s="7">
        <v>6</v>
      </c>
      <c r="R161" s="7"/>
      <c r="S161" s="7"/>
      <c r="T161" s="14">
        <v>2</v>
      </c>
      <c r="U161" s="9">
        <v>30</v>
      </c>
      <c r="V161" s="9">
        <v>2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7">
        <v>0</v>
      </c>
      <c r="AI161" s="7">
        <v>0</v>
      </c>
      <c r="AJ161" s="17">
        <v>0</v>
      </c>
      <c r="AK161" s="17">
        <v>0</v>
      </c>
      <c r="AL161" s="17">
        <v>2</v>
      </c>
      <c r="AM161" s="7">
        <v>1993</v>
      </c>
      <c r="AN161" s="298"/>
      <c r="AO161" s="13">
        <v>882</v>
      </c>
      <c r="AP161" s="73">
        <v>428</v>
      </c>
      <c r="AQ161" s="40">
        <v>0</v>
      </c>
      <c r="AR161" s="255">
        <f>AO161-AP161-AQ161</f>
        <v>454</v>
      </c>
      <c r="AS161" s="6">
        <v>2012</v>
      </c>
      <c r="AT161" s="112"/>
    </row>
    <row r="162" spans="1:46" s="169" customFormat="1" ht="33" customHeight="1">
      <c r="A162" s="164" t="s">
        <v>430</v>
      </c>
      <c r="B162" s="165" t="s">
        <v>594</v>
      </c>
      <c r="C162" s="180"/>
      <c r="D162" s="181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82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83"/>
      <c r="AN162" s="165"/>
      <c r="AO162" s="182">
        <v>3080</v>
      </c>
      <c r="AP162" s="182">
        <v>3080</v>
      </c>
      <c r="AQ162" s="165">
        <v>0</v>
      </c>
      <c r="AR162" s="265">
        <v>0</v>
      </c>
      <c r="AS162" s="166"/>
      <c r="AT162" s="116"/>
    </row>
    <row r="163" spans="1:46" s="169" customFormat="1" ht="33" customHeight="1">
      <c r="A163" s="164" t="s">
        <v>431</v>
      </c>
      <c r="B163" s="165" t="s">
        <v>589</v>
      </c>
      <c r="C163" s="180" t="s">
        <v>230</v>
      </c>
      <c r="D163" s="181"/>
      <c r="E163" s="165">
        <v>40</v>
      </c>
      <c r="F163" s="165">
        <v>2</v>
      </c>
      <c r="G163" s="165">
        <v>20</v>
      </c>
      <c r="H163" s="165">
        <v>20</v>
      </c>
      <c r="I163" s="165">
        <v>15</v>
      </c>
      <c r="J163" s="165">
        <v>11</v>
      </c>
      <c r="K163" s="165">
        <v>15</v>
      </c>
      <c r="L163" s="165"/>
      <c r="M163" s="165"/>
      <c r="N163" s="165"/>
      <c r="O163" s="165">
        <v>1</v>
      </c>
      <c r="P163" s="165">
        <v>1</v>
      </c>
      <c r="Q163" s="165"/>
      <c r="R163" s="165">
        <v>6</v>
      </c>
      <c r="S163" s="165"/>
      <c r="T163" s="182">
        <v>17</v>
      </c>
      <c r="U163" s="165">
        <v>19</v>
      </c>
      <c r="V163" s="165">
        <v>2</v>
      </c>
      <c r="W163" s="165"/>
      <c r="X163" s="165">
        <v>57</v>
      </c>
      <c r="Y163" s="165">
        <v>1</v>
      </c>
      <c r="Z163" s="165"/>
      <c r="AA163" s="165"/>
      <c r="AB163" s="165"/>
      <c r="AC163" s="165"/>
      <c r="AD163" s="165"/>
      <c r="AE163" s="165"/>
      <c r="AF163" s="165"/>
      <c r="AG163" s="165"/>
      <c r="AH163" s="165">
        <v>2</v>
      </c>
      <c r="AI163" s="165">
        <v>0</v>
      </c>
      <c r="AJ163" s="165">
        <v>2</v>
      </c>
      <c r="AK163" s="165">
        <v>15</v>
      </c>
      <c r="AL163" s="165">
        <v>0</v>
      </c>
      <c r="AM163" s="183">
        <v>1987</v>
      </c>
      <c r="AN163" s="165" t="s">
        <v>582</v>
      </c>
      <c r="AO163" s="182">
        <v>1500</v>
      </c>
      <c r="AP163" s="175">
        <v>857</v>
      </c>
      <c r="AQ163" s="165">
        <v>0</v>
      </c>
      <c r="AR163" s="265">
        <f>AO163-AP163-AQ163</f>
        <v>643</v>
      </c>
      <c r="AS163" s="166">
        <v>2013</v>
      </c>
      <c r="AT163" s="116"/>
    </row>
    <row r="164" spans="1:46" ht="30.75" customHeight="1">
      <c r="A164" s="41" t="s">
        <v>621</v>
      </c>
      <c r="B164" s="8" t="s">
        <v>177</v>
      </c>
      <c r="C164" s="6" t="s">
        <v>230</v>
      </c>
      <c r="D164" s="7" t="s">
        <v>0</v>
      </c>
      <c r="E164" s="7">
        <v>630</v>
      </c>
      <c r="F164" s="17">
        <v>2</v>
      </c>
      <c r="G164" s="19">
        <v>8</v>
      </c>
      <c r="H164" s="17">
        <v>8</v>
      </c>
      <c r="I164" s="19"/>
      <c r="J164" s="19">
        <v>6</v>
      </c>
      <c r="K164" s="17"/>
      <c r="L164" s="17"/>
      <c r="M164" s="19"/>
      <c r="N164" s="17"/>
      <c r="O164" s="20">
        <v>2</v>
      </c>
      <c r="P164" s="7">
        <v>2</v>
      </c>
      <c r="Q164" s="7">
        <v>8</v>
      </c>
      <c r="R164" s="7"/>
      <c r="S164" s="7"/>
      <c r="T164" s="14">
        <v>2</v>
      </c>
      <c r="U164" s="9">
        <v>28</v>
      </c>
      <c r="V164" s="9">
        <v>2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7">
        <v>0</v>
      </c>
      <c r="AI164" s="7">
        <v>0</v>
      </c>
      <c r="AJ164" s="17">
        <v>0</v>
      </c>
      <c r="AK164" s="17">
        <v>0</v>
      </c>
      <c r="AL164" s="17">
        <v>2</v>
      </c>
      <c r="AM164" s="7">
        <v>1998</v>
      </c>
      <c r="AN164" s="8" t="s">
        <v>178</v>
      </c>
      <c r="AO164" s="13">
        <v>441</v>
      </c>
      <c r="AP164" s="73">
        <v>165</v>
      </c>
      <c r="AQ164" s="8">
        <v>0</v>
      </c>
      <c r="AR164" s="255">
        <f>AO164-AP164-0</f>
        <v>276</v>
      </c>
      <c r="AS164" s="6"/>
      <c r="AT164" s="112"/>
    </row>
    <row r="165" spans="1:46" s="169" customFormat="1" ht="30" customHeight="1">
      <c r="A165" s="164" t="s">
        <v>622</v>
      </c>
      <c r="B165" s="165" t="s">
        <v>313</v>
      </c>
      <c r="C165" s="166"/>
      <c r="D165" s="167"/>
      <c r="E165" s="167"/>
      <c r="F165" s="174"/>
      <c r="G165" s="174"/>
      <c r="H165" s="174"/>
      <c r="I165" s="174"/>
      <c r="J165" s="174"/>
      <c r="K165" s="174"/>
      <c r="L165" s="174"/>
      <c r="M165" s="174"/>
      <c r="N165" s="174"/>
      <c r="O165" s="167"/>
      <c r="P165" s="167"/>
      <c r="Q165" s="167"/>
      <c r="R165" s="167"/>
      <c r="S165" s="167"/>
      <c r="T165" s="182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7"/>
      <c r="AI165" s="167"/>
      <c r="AJ165" s="174"/>
      <c r="AK165" s="174"/>
      <c r="AL165" s="174"/>
      <c r="AM165" s="167"/>
      <c r="AN165" s="168"/>
      <c r="AO165" s="182">
        <f>AO166+AO177</f>
        <v>9500</v>
      </c>
      <c r="AP165" s="175">
        <f>SUM(AP167:AP175)</f>
        <v>3946</v>
      </c>
      <c r="AQ165" s="165">
        <v>2767.6</v>
      </c>
      <c r="AR165" s="265">
        <f>AO165-AP165-AQ165</f>
        <v>2786.4</v>
      </c>
      <c r="AS165" s="166"/>
      <c r="AT165" s="116"/>
    </row>
    <row r="166" spans="1:46" s="169" customFormat="1" ht="27" customHeight="1">
      <c r="A166" s="205" t="s">
        <v>336</v>
      </c>
      <c r="B166" s="168" t="s">
        <v>163</v>
      </c>
      <c r="C166" s="166" t="s">
        <v>292</v>
      </c>
      <c r="D166" s="167"/>
      <c r="E166" s="167">
        <v>1000</v>
      </c>
      <c r="F166" s="174">
        <v>2</v>
      </c>
      <c r="G166" s="174"/>
      <c r="H166" s="174"/>
      <c r="I166" s="174"/>
      <c r="J166" s="174"/>
      <c r="K166" s="174"/>
      <c r="L166" s="174"/>
      <c r="M166" s="174"/>
      <c r="N166" s="174"/>
      <c r="O166" s="167"/>
      <c r="P166" s="167"/>
      <c r="Q166" s="167"/>
      <c r="R166" s="167"/>
      <c r="S166" s="167"/>
      <c r="T166" s="182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7"/>
      <c r="AI166" s="167"/>
      <c r="AJ166" s="174"/>
      <c r="AK166" s="174"/>
      <c r="AL166" s="174"/>
      <c r="AM166" s="167">
        <v>1990</v>
      </c>
      <c r="AN166" s="193"/>
      <c r="AO166" s="167">
        <v>4000</v>
      </c>
      <c r="AP166" s="179">
        <v>1370</v>
      </c>
      <c r="AQ166" s="168" t="s">
        <v>564</v>
      </c>
      <c r="AR166" s="262">
        <f>AO166-AP166-85</f>
        <v>2545</v>
      </c>
      <c r="AS166" s="166"/>
      <c r="AT166" s="116"/>
    </row>
    <row r="167" spans="1:46" ht="33.75" customHeight="1">
      <c r="A167" s="47" t="s">
        <v>623</v>
      </c>
      <c r="B167" s="119" t="s">
        <v>161</v>
      </c>
      <c r="C167" s="15" t="s">
        <v>292</v>
      </c>
      <c r="D167" s="7"/>
      <c r="E167" s="7">
        <v>630</v>
      </c>
      <c r="F167" s="17">
        <v>2</v>
      </c>
      <c r="G167" s="17"/>
      <c r="H167" s="17"/>
      <c r="I167" s="17"/>
      <c r="J167" s="17"/>
      <c r="K167" s="17"/>
      <c r="L167" s="17"/>
      <c r="M167" s="17"/>
      <c r="N167" s="17"/>
      <c r="O167" s="7"/>
      <c r="P167" s="7"/>
      <c r="Q167" s="7"/>
      <c r="R167" s="7"/>
      <c r="S167" s="7"/>
      <c r="T167" s="14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7"/>
      <c r="AI167" s="7"/>
      <c r="AJ167" s="17"/>
      <c r="AK167" s="17"/>
      <c r="AL167" s="17"/>
      <c r="AM167" s="7">
        <v>1989</v>
      </c>
      <c r="AN167" s="356" t="s">
        <v>293</v>
      </c>
      <c r="AO167" s="13">
        <v>882</v>
      </c>
      <c r="AP167" s="73">
        <v>460</v>
      </c>
      <c r="AQ167" s="45">
        <v>3</v>
      </c>
      <c r="AR167" s="255">
        <f aca="true" t="shared" si="9" ref="AR167:AR188">AO167-AP167-AQ167</f>
        <v>419</v>
      </c>
      <c r="AS167" s="15"/>
      <c r="AT167" s="112"/>
    </row>
    <row r="168" spans="1:46" ht="27.75" customHeight="1">
      <c r="A168" s="41" t="s">
        <v>624</v>
      </c>
      <c r="B168" s="119" t="s">
        <v>162</v>
      </c>
      <c r="C168" s="6" t="s">
        <v>292</v>
      </c>
      <c r="D168" s="7"/>
      <c r="E168" s="7">
        <v>630</v>
      </c>
      <c r="F168" s="17">
        <v>2</v>
      </c>
      <c r="G168" s="19"/>
      <c r="H168" s="17"/>
      <c r="I168" s="19"/>
      <c r="J168" s="19"/>
      <c r="K168" s="17"/>
      <c r="L168" s="17"/>
      <c r="M168" s="19"/>
      <c r="N168" s="17"/>
      <c r="O168" s="20"/>
      <c r="P168" s="7"/>
      <c r="Q168" s="7"/>
      <c r="R168" s="7"/>
      <c r="S168" s="7"/>
      <c r="T168" s="14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7"/>
      <c r="AI168" s="7"/>
      <c r="AJ168" s="17"/>
      <c r="AK168" s="17"/>
      <c r="AL168" s="17"/>
      <c r="AM168" s="7">
        <v>1990</v>
      </c>
      <c r="AN168" s="358"/>
      <c r="AO168" s="13">
        <v>882</v>
      </c>
      <c r="AP168" s="73">
        <v>395</v>
      </c>
      <c r="AQ168" s="8">
        <f>145+200+1.3-1.3</f>
        <v>345</v>
      </c>
      <c r="AR168" s="255">
        <f t="shared" si="9"/>
        <v>142</v>
      </c>
      <c r="AS168" s="6"/>
      <c r="AT168" s="112"/>
    </row>
    <row r="169" spans="1:46" ht="27" customHeight="1">
      <c r="A169" s="47" t="s">
        <v>625</v>
      </c>
      <c r="B169" s="119" t="s">
        <v>163</v>
      </c>
      <c r="C169" s="6" t="s">
        <v>292</v>
      </c>
      <c r="D169" s="7"/>
      <c r="E169" s="7">
        <v>1000</v>
      </c>
      <c r="F169" s="17">
        <v>2</v>
      </c>
      <c r="G169" s="19"/>
      <c r="H169" s="17"/>
      <c r="I169" s="19"/>
      <c r="J169" s="19"/>
      <c r="K169" s="17"/>
      <c r="L169" s="17"/>
      <c r="M169" s="19"/>
      <c r="N169" s="17"/>
      <c r="O169" s="20"/>
      <c r="P169" s="7"/>
      <c r="Q169" s="7"/>
      <c r="R169" s="7"/>
      <c r="S169" s="7"/>
      <c r="T169" s="14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7"/>
      <c r="AI169" s="7"/>
      <c r="AJ169" s="17"/>
      <c r="AK169" s="17"/>
      <c r="AL169" s="17"/>
      <c r="AM169" s="7">
        <v>1990</v>
      </c>
      <c r="AN169" s="356" t="s">
        <v>293</v>
      </c>
      <c r="AO169" s="7">
        <v>4000</v>
      </c>
      <c r="AP169" s="73">
        <v>559</v>
      </c>
      <c r="AQ169" s="8" t="s">
        <v>564</v>
      </c>
      <c r="AR169" s="255">
        <f>AO169-AP169-85</f>
        <v>3356</v>
      </c>
      <c r="AS169" s="6"/>
      <c r="AT169" s="112"/>
    </row>
    <row r="170" spans="1:46" ht="28.5" customHeight="1">
      <c r="A170" s="41" t="s">
        <v>626</v>
      </c>
      <c r="B170" s="119" t="s">
        <v>164</v>
      </c>
      <c r="C170" s="6" t="s">
        <v>292</v>
      </c>
      <c r="D170" s="7"/>
      <c r="E170" s="7">
        <v>1250</v>
      </c>
      <c r="F170" s="17">
        <v>2</v>
      </c>
      <c r="G170" s="19"/>
      <c r="H170" s="17"/>
      <c r="I170" s="19"/>
      <c r="J170" s="19"/>
      <c r="K170" s="17"/>
      <c r="L170" s="17"/>
      <c r="M170" s="19"/>
      <c r="N170" s="17"/>
      <c r="O170" s="20"/>
      <c r="P170" s="7"/>
      <c r="Q170" s="7"/>
      <c r="R170" s="7"/>
      <c r="S170" s="7"/>
      <c r="T170" s="14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7"/>
      <c r="AI170" s="7"/>
      <c r="AJ170" s="17"/>
      <c r="AK170" s="17"/>
      <c r="AL170" s="17"/>
      <c r="AM170" s="7">
        <v>1988</v>
      </c>
      <c r="AN170" s="358"/>
      <c r="AO170" s="7">
        <v>1750</v>
      </c>
      <c r="AP170" s="73">
        <v>493</v>
      </c>
      <c r="AQ170" s="8">
        <v>10.8</v>
      </c>
      <c r="AR170" s="255">
        <f t="shared" si="9"/>
        <v>1246.2</v>
      </c>
      <c r="AS170" s="6"/>
      <c r="AT170" s="112"/>
    </row>
    <row r="171" spans="1:46" ht="27.75" customHeight="1">
      <c r="A171" s="47" t="s">
        <v>627</v>
      </c>
      <c r="B171" s="119" t="s">
        <v>175</v>
      </c>
      <c r="C171" s="6" t="s">
        <v>292</v>
      </c>
      <c r="D171" s="7"/>
      <c r="E171" s="7">
        <v>1000</v>
      </c>
      <c r="F171" s="17">
        <v>2</v>
      </c>
      <c r="G171" s="19"/>
      <c r="H171" s="17"/>
      <c r="I171" s="19"/>
      <c r="J171" s="19"/>
      <c r="K171" s="17"/>
      <c r="L171" s="17"/>
      <c r="M171" s="19"/>
      <c r="N171" s="17"/>
      <c r="O171" s="20"/>
      <c r="P171" s="7"/>
      <c r="Q171" s="7"/>
      <c r="R171" s="7"/>
      <c r="S171" s="7"/>
      <c r="T171" s="14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7"/>
      <c r="AI171" s="7"/>
      <c r="AJ171" s="17"/>
      <c r="AK171" s="17"/>
      <c r="AL171" s="17"/>
      <c r="AM171" s="7">
        <v>1992</v>
      </c>
      <c r="AN171" s="356" t="s">
        <v>294</v>
      </c>
      <c r="AO171" s="7">
        <v>1400</v>
      </c>
      <c r="AP171" s="73">
        <v>592</v>
      </c>
      <c r="AQ171" s="8">
        <f>149</f>
        <v>149</v>
      </c>
      <c r="AR171" s="255">
        <f t="shared" si="9"/>
        <v>659</v>
      </c>
      <c r="AS171" s="6" t="s">
        <v>264</v>
      </c>
      <c r="AT171" s="112"/>
    </row>
    <row r="172" spans="1:46" ht="27.75" customHeight="1">
      <c r="A172" s="41" t="s">
        <v>628</v>
      </c>
      <c r="B172" s="119" t="s">
        <v>176</v>
      </c>
      <c r="C172" s="6" t="s">
        <v>292</v>
      </c>
      <c r="D172" s="7"/>
      <c r="E172" s="7">
        <v>630</v>
      </c>
      <c r="F172" s="17">
        <v>2</v>
      </c>
      <c r="G172" s="19"/>
      <c r="H172" s="17"/>
      <c r="I172" s="19"/>
      <c r="J172" s="19"/>
      <c r="K172" s="17"/>
      <c r="L172" s="17"/>
      <c r="M172" s="19"/>
      <c r="N172" s="17"/>
      <c r="O172" s="20"/>
      <c r="P172" s="7"/>
      <c r="Q172" s="7"/>
      <c r="R172" s="7"/>
      <c r="S172" s="7"/>
      <c r="T172" s="14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7"/>
      <c r="AI172" s="7"/>
      <c r="AJ172" s="17"/>
      <c r="AK172" s="17"/>
      <c r="AL172" s="17"/>
      <c r="AM172" s="7">
        <v>1992</v>
      </c>
      <c r="AN172" s="357"/>
      <c r="AO172" s="7">
        <v>882</v>
      </c>
      <c r="AP172" s="73">
        <v>263</v>
      </c>
      <c r="AQ172" s="8">
        <f>30+90+77-1+206.4-150+75+100-206.4</f>
        <v>220.99999999999997</v>
      </c>
      <c r="AR172" s="255">
        <f t="shared" si="9"/>
        <v>398</v>
      </c>
      <c r="AS172" s="6">
        <v>2012</v>
      </c>
      <c r="AT172" s="112"/>
    </row>
    <row r="173" spans="1:46" ht="25.5" customHeight="1">
      <c r="A173" s="47" t="s">
        <v>629</v>
      </c>
      <c r="B173" s="119" t="s">
        <v>415</v>
      </c>
      <c r="C173" s="6" t="s">
        <v>292</v>
      </c>
      <c r="D173" s="7"/>
      <c r="E173" s="7">
        <v>1000</v>
      </c>
      <c r="F173" s="17">
        <v>2</v>
      </c>
      <c r="G173" s="19"/>
      <c r="H173" s="17"/>
      <c r="I173" s="19"/>
      <c r="J173" s="19"/>
      <c r="K173" s="17"/>
      <c r="L173" s="17"/>
      <c r="M173" s="19"/>
      <c r="N173" s="17"/>
      <c r="O173" s="20"/>
      <c r="P173" s="7"/>
      <c r="Q173" s="7"/>
      <c r="R173" s="7"/>
      <c r="S173" s="7"/>
      <c r="T173" s="14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7"/>
      <c r="AI173" s="7"/>
      <c r="AJ173" s="17"/>
      <c r="AK173" s="17"/>
      <c r="AL173" s="17"/>
      <c r="AM173" s="7">
        <v>2012</v>
      </c>
      <c r="AN173" s="358"/>
      <c r="AO173" s="7">
        <v>1677</v>
      </c>
      <c r="AP173" s="73">
        <v>329</v>
      </c>
      <c r="AQ173" s="8">
        <v>200</v>
      </c>
      <c r="AR173" s="255">
        <f>AO173-AP173-AQ173</f>
        <v>1148</v>
      </c>
      <c r="AS173" s="6"/>
      <c r="AT173" s="112"/>
    </row>
    <row r="174" spans="1:46" ht="27.75" customHeight="1">
      <c r="A174" s="41" t="s">
        <v>630</v>
      </c>
      <c r="B174" s="119" t="s">
        <v>537</v>
      </c>
      <c r="C174" s="6" t="s">
        <v>292</v>
      </c>
      <c r="D174" s="7"/>
      <c r="E174" s="7">
        <v>630</v>
      </c>
      <c r="F174" s="17">
        <v>2</v>
      </c>
      <c r="G174" s="19"/>
      <c r="H174" s="17"/>
      <c r="I174" s="19"/>
      <c r="J174" s="19"/>
      <c r="K174" s="17"/>
      <c r="L174" s="17"/>
      <c r="M174" s="19"/>
      <c r="N174" s="17"/>
      <c r="O174" s="20"/>
      <c r="P174" s="7"/>
      <c r="Q174" s="7"/>
      <c r="R174" s="7"/>
      <c r="S174" s="7"/>
      <c r="T174" s="14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7"/>
      <c r="AI174" s="7"/>
      <c r="AJ174" s="17"/>
      <c r="AK174" s="17"/>
      <c r="AL174" s="17"/>
      <c r="AM174" s="7">
        <v>2012</v>
      </c>
      <c r="AN174" s="124"/>
      <c r="AO174" s="7">
        <v>882</v>
      </c>
      <c r="AP174" s="73">
        <v>198</v>
      </c>
      <c r="AQ174" s="8" t="s">
        <v>561</v>
      </c>
      <c r="AR174" s="255">
        <f>AO174-AP174-326.8</f>
        <v>357.2</v>
      </c>
      <c r="AS174" s="6"/>
      <c r="AT174" s="112"/>
    </row>
    <row r="175" spans="1:46" s="116" customFormat="1" ht="27.75" customHeight="1">
      <c r="A175" s="47" t="s">
        <v>631</v>
      </c>
      <c r="B175" s="152" t="s">
        <v>578</v>
      </c>
      <c r="C175" s="6" t="s">
        <v>292</v>
      </c>
      <c r="D175" s="153"/>
      <c r="E175" s="153"/>
      <c r="F175" s="154"/>
      <c r="G175" s="154"/>
      <c r="H175" s="154"/>
      <c r="I175" s="154"/>
      <c r="J175" s="154"/>
      <c r="K175" s="154"/>
      <c r="L175" s="154"/>
      <c r="M175" s="154"/>
      <c r="N175" s="154"/>
      <c r="O175" s="153"/>
      <c r="P175" s="153"/>
      <c r="Q175" s="153"/>
      <c r="R175" s="153"/>
      <c r="S175" s="153"/>
      <c r="T175" s="206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3"/>
      <c r="AI175" s="153"/>
      <c r="AJ175" s="154"/>
      <c r="AK175" s="154"/>
      <c r="AL175" s="154"/>
      <c r="AM175" s="153"/>
      <c r="AN175" s="207"/>
      <c r="AO175" s="153">
        <v>600</v>
      </c>
      <c r="AP175" s="208">
        <f>AP176</f>
        <v>657</v>
      </c>
      <c r="AQ175" s="119">
        <f>AQ176</f>
        <v>18.9</v>
      </c>
      <c r="AR175" s="267">
        <f>AO175-AP175-AQ175</f>
        <v>-75.9</v>
      </c>
      <c r="AS175" s="155"/>
      <c r="AT175" s="112"/>
    </row>
    <row r="176" spans="1:46" s="116" customFormat="1" ht="27.75" customHeight="1">
      <c r="A176" s="41" t="s">
        <v>632</v>
      </c>
      <c r="B176" s="119" t="s">
        <v>545</v>
      </c>
      <c r="C176" s="155" t="s">
        <v>292</v>
      </c>
      <c r="D176" s="153"/>
      <c r="E176" s="153">
        <v>1600</v>
      </c>
      <c r="F176" s="154">
        <v>4</v>
      </c>
      <c r="G176" s="154"/>
      <c r="H176" s="154"/>
      <c r="I176" s="154"/>
      <c r="J176" s="154"/>
      <c r="K176" s="154"/>
      <c r="L176" s="154"/>
      <c r="M176" s="154"/>
      <c r="N176" s="154"/>
      <c r="O176" s="153"/>
      <c r="P176" s="153"/>
      <c r="Q176" s="153"/>
      <c r="R176" s="153"/>
      <c r="S176" s="153"/>
      <c r="T176" s="206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3"/>
      <c r="AI176" s="153"/>
      <c r="AJ176" s="154"/>
      <c r="AK176" s="154"/>
      <c r="AL176" s="154"/>
      <c r="AM176" s="153">
        <v>2012</v>
      </c>
      <c r="AN176" s="207"/>
      <c r="AO176" s="153">
        <v>600</v>
      </c>
      <c r="AP176" s="208">
        <v>657</v>
      </c>
      <c r="AQ176" s="208">
        <v>18.9</v>
      </c>
      <c r="AR176" s="267">
        <f>AO176-AP176-AQ176</f>
        <v>-75.9</v>
      </c>
      <c r="AS176" s="155"/>
      <c r="AT176" s="112"/>
    </row>
    <row r="177" spans="1:46" s="169" customFormat="1" ht="27.75" customHeight="1">
      <c r="A177" s="164" t="s">
        <v>633</v>
      </c>
      <c r="B177" s="165" t="s">
        <v>33</v>
      </c>
      <c r="C177" s="180" t="s">
        <v>230</v>
      </c>
      <c r="D177" s="181"/>
      <c r="E177" s="165">
        <v>40</v>
      </c>
      <c r="F177" s="165">
        <v>2</v>
      </c>
      <c r="G177" s="165">
        <v>20</v>
      </c>
      <c r="H177" s="165">
        <v>20</v>
      </c>
      <c r="I177" s="165">
        <v>15</v>
      </c>
      <c r="J177" s="165">
        <v>11</v>
      </c>
      <c r="K177" s="165">
        <v>15</v>
      </c>
      <c r="L177" s="165"/>
      <c r="M177" s="165"/>
      <c r="N177" s="165"/>
      <c r="O177" s="165">
        <v>1</v>
      </c>
      <c r="P177" s="165">
        <v>1</v>
      </c>
      <c r="Q177" s="165"/>
      <c r="R177" s="165">
        <v>6</v>
      </c>
      <c r="S177" s="165"/>
      <c r="T177" s="182">
        <v>17</v>
      </c>
      <c r="U177" s="165">
        <v>19</v>
      </c>
      <c r="V177" s="165">
        <v>2</v>
      </c>
      <c r="W177" s="165"/>
      <c r="X177" s="165">
        <v>57</v>
      </c>
      <c r="Y177" s="165">
        <v>1</v>
      </c>
      <c r="Z177" s="165"/>
      <c r="AA177" s="165"/>
      <c r="AB177" s="165"/>
      <c r="AC177" s="165"/>
      <c r="AD177" s="165"/>
      <c r="AE177" s="165"/>
      <c r="AF177" s="165"/>
      <c r="AG177" s="165"/>
      <c r="AH177" s="165">
        <v>2</v>
      </c>
      <c r="AI177" s="165">
        <v>0</v>
      </c>
      <c r="AJ177" s="165">
        <v>2</v>
      </c>
      <c r="AK177" s="165">
        <v>15</v>
      </c>
      <c r="AL177" s="165">
        <v>0</v>
      </c>
      <c r="AM177" s="183">
        <v>1987</v>
      </c>
      <c r="AN177" s="165" t="s">
        <v>34</v>
      </c>
      <c r="AO177" s="182">
        <v>5500</v>
      </c>
      <c r="AP177" s="165">
        <f>SUM(AP178:AP187)</f>
        <v>3486.3</v>
      </c>
      <c r="AQ177" s="165">
        <f>AQ178+AQ179+AQ180+AQ181+AQ182+AQ183+AQ184+AQ185+AQ187+1260+517</f>
        <v>2258</v>
      </c>
      <c r="AR177" s="265">
        <f>AO177-AP177-AQ177</f>
        <v>-244.30000000000018</v>
      </c>
      <c r="AS177" s="166">
        <v>2013</v>
      </c>
      <c r="AT177" s="116"/>
    </row>
    <row r="178" spans="1:46" ht="24.75" customHeight="1">
      <c r="A178" s="41" t="s">
        <v>634</v>
      </c>
      <c r="B178" s="119" t="s">
        <v>144</v>
      </c>
      <c r="C178" s="6" t="s">
        <v>230</v>
      </c>
      <c r="D178" s="7" t="s">
        <v>0</v>
      </c>
      <c r="E178" s="7">
        <v>630</v>
      </c>
      <c r="F178" s="17">
        <v>2</v>
      </c>
      <c r="G178" s="19">
        <v>6</v>
      </c>
      <c r="H178" s="17">
        <v>6</v>
      </c>
      <c r="I178" s="19"/>
      <c r="J178" s="19">
        <v>6</v>
      </c>
      <c r="K178" s="17"/>
      <c r="L178" s="17"/>
      <c r="M178" s="19"/>
      <c r="N178" s="17"/>
      <c r="O178" s="20">
        <v>6</v>
      </c>
      <c r="P178" s="7">
        <v>6</v>
      </c>
      <c r="Q178" s="7">
        <v>2</v>
      </c>
      <c r="R178" s="7"/>
      <c r="S178" s="7"/>
      <c r="T178" s="14">
        <v>2</v>
      </c>
      <c r="U178" s="9">
        <v>26</v>
      </c>
      <c r="V178" s="9">
        <v>2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7">
        <v>0</v>
      </c>
      <c r="AI178" s="7">
        <v>0</v>
      </c>
      <c r="AJ178" s="17">
        <v>0</v>
      </c>
      <c r="AK178" s="17">
        <v>0</v>
      </c>
      <c r="AL178" s="17">
        <v>2</v>
      </c>
      <c r="AM178" s="7">
        <v>1988</v>
      </c>
      <c r="AN178" s="298" t="s">
        <v>34</v>
      </c>
      <c r="AO178" s="7">
        <v>882</v>
      </c>
      <c r="AP178" s="73">
        <f>329+6</f>
        <v>335</v>
      </c>
      <c r="AQ178" s="40">
        <f>220-6</f>
        <v>214</v>
      </c>
      <c r="AR178" s="255">
        <f t="shared" si="9"/>
        <v>333</v>
      </c>
      <c r="AS178" s="6">
        <v>2012</v>
      </c>
      <c r="AT178" s="112"/>
    </row>
    <row r="179" spans="1:48" ht="24.75" customHeight="1">
      <c r="A179" s="41" t="s">
        <v>635</v>
      </c>
      <c r="B179" s="119" t="s">
        <v>145</v>
      </c>
      <c r="C179" s="6" t="s">
        <v>230</v>
      </c>
      <c r="D179" s="7" t="s">
        <v>0</v>
      </c>
      <c r="E179" s="7">
        <v>1000</v>
      </c>
      <c r="F179" s="17">
        <v>2</v>
      </c>
      <c r="G179" s="19">
        <v>6</v>
      </c>
      <c r="H179" s="17">
        <v>6</v>
      </c>
      <c r="I179" s="19"/>
      <c r="J179" s="19">
        <v>6</v>
      </c>
      <c r="K179" s="17"/>
      <c r="L179" s="17"/>
      <c r="M179" s="19"/>
      <c r="N179" s="17"/>
      <c r="O179" s="20">
        <v>4</v>
      </c>
      <c r="P179" s="7">
        <v>4</v>
      </c>
      <c r="Q179" s="7">
        <v>4</v>
      </c>
      <c r="R179" s="7"/>
      <c r="S179" s="7"/>
      <c r="T179" s="14">
        <v>2</v>
      </c>
      <c r="U179" s="9">
        <v>26</v>
      </c>
      <c r="V179" s="9">
        <v>2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7">
        <v>0</v>
      </c>
      <c r="AI179" s="7">
        <v>0</v>
      </c>
      <c r="AJ179" s="17">
        <v>0</v>
      </c>
      <c r="AK179" s="17">
        <v>0</v>
      </c>
      <c r="AL179" s="17">
        <v>2</v>
      </c>
      <c r="AM179" s="7">
        <v>1988</v>
      </c>
      <c r="AN179" s="298"/>
      <c r="AO179" s="7">
        <v>1400</v>
      </c>
      <c r="AP179" s="73">
        <v>394</v>
      </c>
      <c r="AQ179" s="40">
        <f>8-4</f>
        <v>4</v>
      </c>
      <c r="AR179" s="255">
        <f t="shared" si="9"/>
        <v>1002</v>
      </c>
      <c r="AS179" s="6" t="s">
        <v>264</v>
      </c>
      <c r="AT179" s="112"/>
      <c r="AV179" s="44">
        <f>AVERAGE(1000*1.73*380)/1000</f>
        <v>657.4</v>
      </c>
    </row>
    <row r="180" spans="1:46" ht="24.75" customHeight="1">
      <c r="A180" s="41" t="s">
        <v>636</v>
      </c>
      <c r="B180" s="119" t="s">
        <v>146</v>
      </c>
      <c r="C180" s="6" t="s">
        <v>230</v>
      </c>
      <c r="D180" s="7" t="s">
        <v>0</v>
      </c>
      <c r="E180" s="7">
        <v>1000</v>
      </c>
      <c r="F180" s="17">
        <v>2</v>
      </c>
      <c r="G180" s="19">
        <v>6</v>
      </c>
      <c r="H180" s="17">
        <v>6</v>
      </c>
      <c r="I180" s="19"/>
      <c r="J180" s="19">
        <v>6</v>
      </c>
      <c r="K180" s="17"/>
      <c r="L180" s="17"/>
      <c r="M180" s="19"/>
      <c r="N180" s="17"/>
      <c r="O180" s="20">
        <v>4</v>
      </c>
      <c r="P180" s="7">
        <v>4</v>
      </c>
      <c r="Q180" s="7">
        <v>4</v>
      </c>
      <c r="R180" s="7"/>
      <c r="S180" s="7"/>
      <c r="T180" s="14">
        <v>2</v>
      </c>
      <c r="U180" s="9">
        <v>24</v>
      </c>
      <c r="V180" s="9">
        <v>2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7">
        <v>0</v>
      </c>
      <c r="AI180" s="7">
        <v>0</v>
      </c>
      <c r="AJ180" s="17">
        <v>0</v>
      </c>
      <c r="AK180" s="17">
        <v>0</v>
      </c>
      <c r="AL180" s="17">
        <v>2</v>
      </c>
      <c r="AM180" s="7">
        <v>1987</v>
      </c>
      <c r="AN180" s="298"/>
      <c r="AO180" s="7">
        <v>1400</v>
      </c>
      <c r="AP180" s="73">
        <v>283</v>
      </c>
      <c r="AQ180" s="40">
        <v>15</v>
      </c>
      <c r="AR180" s="255">
        <v>601</v>
      </c>
      <c r="AS180" s="6" t="s">
        <v>264</v>
      </c>
      <c r="AT180" s="112"/>
    </row>
    <row r="181" spans="1:46" ht="23.25" customHeight="1">
      <c r="A181" s="41" t="s">
        <v>637</v>
      </c>
      <c r="B181" s="119" t="s">
        <v>147</v>
      </c>
      <c r="C181" s="6" t="s">
        <v>230</v>
      </c>
      <c r="D181" s="7" t="s">
        <v>0</v>
      </c>
      <c r="E181" s="7">
        <v>630</v>
      </c>
      <c r="F181" s="17">
        <v>2</v>
      </c>
      <c r="G181" s="19">
        <v>6</v>
      </c>
      <c r="H181" s="17">
        <v>6</v>
      </c>
      <c r="I181" s="19"/>
      <c r="J181" s="19">
        <v>6</v>
      </c>
      <c r="K181" s="17"/>
      <c r="L181" s="17"/>
      <c r="M181" s="19"/>
      <c r="N181" s="17"/>
      <c r="O181" s="20">
        <v>4</v>
      </c>
      <c r="P181" s="7">
        <v>4</v>
      </c>
      <c r="Q181" s="7">
        <v>4</v>
      </c>
      <c r="R181" s="7"/>
      <c r="S181" s="7"/>
      <c r="T181" s="14">
        <v>2</v>
      </c>
      <c r="U181" s="9">
        <v>26</v>
      </c>
      <c r="V181" s="9">
        <v>2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7">
        <v>0</v>
      </c>
      <c r="AI181" s="7">
        <v>0</v>
      </c>
      <c r="AJ181" s="17">
        <v>0</v>
      </c>
      <c r="AK181" s="17">
        <v>0</v>
      </c>
      <c r="AL181" s="17">
        <v>2</v>
      </c>
      <c r="AM181" s="7">
        <v>1987</v>
      </c>
      <c r="AN181" s="298"/>
      <c r="AO181" s="7">
        <v>882</v>
      </c>
      <c r="AP181" s="73">
        <v>263</v>
      </c>
      <c r="AQ181" s="40">
        <v>0</v>
      </c>
      <c r="AR181" s="255">
        <f t="shared" si="9"/>
        <v>619</v>
      </c>
      <c r="AS181" s="6"/>
      <c r="AT181" s="112"/>
    </row>
    <row r="182" spans="1:46" ht="24.75" customHeight="1">
      <c r="A182" s="41" t="s">
        <v>638</v>
      </c>
      <c r="B182" s="119" t="s">
        <v>148</v>
      </c>
      <c r="C182" s="6" t="s">
        <v>250</v>
      </c>
      <c r="D182" s="7" t="s">
        <v>0</v>
      </c>
      <c r="E182" s="7">
        <v>1000</v>
      </c>
      <c r="F182" s="17">
        <v>2</v>
      </c>
      <c r="G182" s="19"/>
      <c r="H182" s="17"/>
      <c r="I182" s="19"/>
      <c r="J182" s="19">
        <v>2</v>
      </c>
      <c r="K182" s="17"/>
      <c r="L182" s="17"/>
      <c r="M182" s="19"/>
      <c r="N182" s="17"/>
      <c r="O182" s="19"/>
      <c r="P182" s="17"/>
      <c r="Q182" s="17"/>
      <c r="R182" s="17"/>
      <c r="S182" s="17"/>
      <c r="T182" s="14">
        <v>2</v>
      </c>
      <c r="U182" s="38">
        <v>30</v>
      </c>
      <c r="V182" s="9">
        <v>2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7">
        <v>0</v>
      </c>
      <c r="AI182" s="7">
        <v>0</v>
      </c>
      <c r="AJ182" s="17">
        <v>0</v>
      </c>
      <c r="AK182" s="17">
        <v>0</v>
      </c>
      <c r="AL182" s="17">
        <v>2</v>
      </c>
      <c r="AM182" s="7">
        <v>1987</v>
      </c>
      <c r="AN182" s="298"/>
      <c r="AO182" s="7">
        <v>1400</v>
      </c>
      <c r="AP182" s="73">
        <f>263+89.3</f>
        <v>352.3</v>
      </c>
      <c r="AQ182" s="40">
        <v>15</v>
      </c>
      <c r="AR182" s="255">
        <f t="shared" si="9"/>
        <v>1032.7</v>
      </c>
      <c r="AS182" s="6">
        <v>2011</v>
      </c>
      <c r="AT182" s="112"/>
    </row>
    <row r="183" spans="1:46" ht="24.75" customHeight="1">
      <c r="A183" s="41" t="s">
        <v>639</v>
      </c>
      <c r="B183" s="119" t="s">
        <v>149</v>
      </c>
      <c r="C183" s="6" t="s">
        <v>230</v>
      </c>
      <c r="D183" s="7" t="s">
        <v>0</v>
      </c>
      <c r="E183" s="7">
        <v>630</v>
      </c>
      <c r="F183" s="17">
        <v>2</v>
      </c>
      <c r="G183" s="19">
        <v>6</v>
      </c>
      <c r="H183" s="17">
        <v>6</v>
      </c>
      <c r="I183" s="19"/>
      <c r="J183" s="19">
        <v>6</v>
      </c>
      <c r="K183" s="17"/>
      <c r="L183" s="17"/>
      <c r="M183" s="19"/>
      <c r="N183" s="17"/>
      <c r="O183" s="20">
        <v>2</v>
      </c>
      <c r="P183" s="7">
        <v>2</v>
      </c>
      <c r="Q183" s="7">
        <v>6</v>
      </c>
      <c r="R183" s="7"/>
      <c r="S183" s="7"/>
      <c r="T183" s="14">
        <v>2</v>
      </c>
      <c r="U183" s="9">
        <v>26</v>
      </c>
      <c r="V183" s="9">
        <v>2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7">
        <v>0</v>
      </c>
      <c r="AI183" s="7">
        <v>0</v>
      </c>
      <c r="AJ183" s="17">
        <v>0</v>
      </c>
      <c r="AK183" s="17">
        <v>0</v>
      </c>
      <c r="AL183" s="17">
        <v>2</v>
      </c>
      <c r="AM183" s="7">
        <v>1989</v>
      </c>
      <c r="AN183" s="298"/>
      <c r="AO183" s="7">
        <v>882</v>
      </c>
      <c r="AP183" s="73">
        <v>170</v>
      </c>
      <c r="AQ183" s="40">
        <v>0</v>
      </c>
      <c r="AR183" s="255">
        <f t="shared" si="9"/>
        <v>712</v>
      </c>
      <c r="AS183" s="6"/>
      <c r="AT183" s="112"/>
    </row>
    <row r="184" spans="1:46" ht="24.75" customHeight="1">
      <c r="A184" s="41" t="s">
        <v>640</v>
      </c>
      <c r="B184" s="119" t="s">
        <v>150</v>
      </c>
      <c r="C184" s="6" t="s">
        <v>230</v>
      </c>
      <c r="D184" s="7" t="s">
        <v>0</v>
      </c>
      <c r="E184" s="7">
        <v>630</v>
      </c>
      <c r="F184" s="17">
        <v>2</v>
      </c>
      <c r="G184" s="19">
        <v>6</v>
      </c>
      <c r="H184" s="17">
        <v>6</v>
      </c>
      <c r="I184" s="19"/>
      <c r="J184" s="19">
        <v>6</v>
      </c>
      <c r="K184" s="17"/>
      <c r="L184" s="17"/>
      <c r="M184" s="19"/>
      <c r="N184" s="17"/>
      <c r="O184" s="20">
        <v>6</v>
      </c>
      <c r="P184" s="7">
        <v>6</v>
      </c>
      <c r="Q184" s="7">
        <v>2</v>
      </c>
      <c r="R184" s="7"/>
      <c r="S184" s="7"/>
      <c r="T184" s="14">
        <v>2</v>
      </c>
      <c r="U184" s="9">
        <v>26</v>
      </c>
      <c r="V184" s="9">
        <v>2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7">
        <v>0</v>
      </c>
      <c r="AI184" s="7">
        <v>0</v>
      </c>
      <c r="AJ184" s="17">
        <v>0</v>
      </c>
      <c r="AK184" s="17">
        <v>0</v>
      </c>
      <c r="AL184" s="17">
        <v>2</v>
      </c>
      <c r="AM184" s="7">
        <v>1994</v>
      </c>
      <c r="AN184" s="298"/>
      <c r="AO184" s="7">
        <v>882</v>
      </c>
      <c r="AP184" s="73">
        <v>166</v>
      </c>
      <c r="AQ184" s="40">
        <v>180</v>
      </c>
      <c r="AR184" s="255">
        <f t="shared" si="9"/>
        <v>536</v>
      </c>
      <c r="AS184" s="6"/>
      <c r="AT184" s="112"/>
    </row>
    <row r="185" spans="1:46" ht="24.75" customHeight="1">
      <c r="A185" s="41" t="s">
        <v>641</v>
      </c>
      <c r="B185" s="119" t="s">
        <v>158</v>
      </c>
      <c r="C185" s="6" t="s">
        <v>230</v>
      </c>
      <c r="D185" s="7" t="s">
        <v>0</v>
      </c>
      <c r="E185" s="7">
        <v>1000</v>
      </c>
      <c r="F185" s="17">
        <v>2</v>
      </c>
      <c r="G185" s="19">
        <v>6</v>
      </c>
      <c r="H185" s="17">
        <v>6</v>
      </c>
      <c r="I185" s="19"/>
      <c r="J185" s="19">
        <v>6</v>
      </c>
      <c r="K185" s="17"/>
      <c r="L185" s="17"/>
      <c r="M185" s="19"/>
      <c r="N185" s="17"/>
      <c r="O185" s="20">
        <v>4</v>
      </c>
      <c r="P185" s="7">
        <v>4</v>
      </c>
      <c r="Q185" s="7">
        <v>4</v>
      </c>
      <c r="R185" s="7"/>
      <c r="S185" s="7"/>
      <c r="T185" s="14">
        <v>2</v>
      </c>
      <c r="U185" s="9">
        <v>30</v>
      </c>
      <c r="V185" s="9">
        <v>2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7">
        <v>0</v>
      </c>
      <c r="AI185" s="7">
        <v>0</v>
      </c>
      <c r="AJ185" s="17">
        <v>0</v>
      </c>
      <c r="AK185" s="17">
        <v>0</v>
      </c>
      <c r="AL185" s="17">
        <v>2</v>
      </c>
      <c r="AM185" s="7">
        <v>1988</v>
      </c>
      <c r="AN185" s="298" t="s">
        <v>159</v>
      </c>
      <c r="AO185" s="7">
        <v>1400</v>
      </c>
      <c r="AP185" s="73">
        <f>427+60</f>
        <v>487</v>
      </c>
      <c r="AQ185" s="40">
        <v>31</v>
      </c>
      <c r="AR185" s="255">
        <f t="shared" si="9"/>
        <v>882</v>
      </c>
      <c r="AS185" s="6">
        <v>2011</v>
      </c>
      <c r="AT185" s="112"/>
    </row>
    <row r="186" spans="1:46" ht="30" customHeight="1">
      <c r="A186" s="41" t="s">
        <v>642</v>
      </c>
      <c r="B186" s="119" t="s">
        <v>160</v>
      </c>
      <c r="C186" s="6" t="s">
        <v>230</v>
      </c>
      <c r="D186" s="7" t="s">
        <v>0</v>
      </c>
      <c r="E186" s="7">
        <v>630</v>
      </c>
      <c r="F186" s="17">
        <v>2</v>
      </c>
      <c r="G186" s="19">
        <v>6</v>
      </c>
      <c r="H186" s="17">
        <v>6</v>
      </c>
      <c r="I186" s="19"/>
      <c r="J186" s="19">
        <v>6</v>
      </c>
      <c r="K186" s="17"/>
      <c r="L186" s="17"/>
      <c r="M186" s="19"/>
      <c r="N186" s="17"/>
      <c r="O186" s="20">
        <v>6</v>
      </c>
      <c r="P186" s="7">
        <v>6</v>
      </c>
      <c r="Q186" s="7">
        <v>2</v>
      </c>
      <c r="R186" s="7"/>
      <c r="S186" s="7"/>
      <c r="T186" s="14">
        <v>2</v>
      </c>
      <c r="U186" s="9">
        <v>22</v>
      </c>
      <c r="V186" s="9">
        <v>2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7">
        <v>0</v>
      </c>
      <c r="AI186" s="7">
        <v>0</v>
      </c>
      <c r="AJ186" s="17">
        <v>0</v>
      </c>
      <c r="AK186" s="17">
        <v>0</v>
      </c>
      <c r="AL186" s="17">
        <v>2</v>
      </c>
      <c r="AM186" s="7">
        <v>1990</v>
      </c>
      <c r="AN186" s="298"/>
      <c r="AO186" s="7">
        <v>882</v>
      </c>
      <c r="AP186" s="73">
        <f>460+50</f>
        <v>510</v>
      </c>
      <c r="AQ186" s="40" t="s">
        <v>559</v>
      </c>
      <c r="AR186" s="255">
        <f>AO186-AP186-467-100</f>
        <v>-195</v>
      </c>
      <c r="AS186" s="6"/>
      <c r="AT186" s="112"/>
    </row>
    <row r="187" spans="1:46" ht="24.75" customHeight="1">
      <c r="A187" s="41" t="s">
        <v>643</v>
      </c>
      <c r="B187" s="119" t="s">
        <v>165</v>
      </c>
      <c r="C187" s="6" t="s">
        <v>230</v>
      </c>
      <c r="D187" s="7" t="s">
        <v>0</v>
      </c>
      <c r="E187" s="7">
        <v>630</v>
      </c>
      <c r="F187" s="17">
        <v>2</v>
      </c>
      <c r="G187" s="19">
        <v>6</v>
      </c>
      <c r="H187" s="17">
        <v>6</v>
      </c>
      <c r="I187" s="19"/>
      <c r="J187" s="19">
        <v>6</v>
      </c>
      <c r="K187" s="17"/>
      <c r="L187" s="17"/>
      <c r="M187" s="19"/>
      <c r="N187" s="17"/>
      <c r="O187" s="20">
        <v>2</v>
      </c>
      <c r="P187" s="7">
        <v>2</v>
      </c>
      <c r="Q187" s="7">
        <v>6</v>
      </c>
      <c r="R187" s="7"/>
      <c r="S187" s="7"/>
      <c r="T187" s="14">
        <v>2</v>
      </c>
      <c r="U187" s="9">
        <v>30</v>
      </c>
      <c r="V187" s="9">
        <v>2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7">
        <v>0</v>
      </c>
      <c r="AI187" s="7">
        <v>0</v>
      </c>
      <c r="AJ187" s="17">
        <v>0</v>
      </c>
      <c r="AK187" s="17">
        <v>0</v>
      </c>
      <c r="AL187" s="17">
        <v>2</v>
      </c>
      <c r="AM187" s="7">
        <v>1988</v>
      </c>
      <c r="AN187" s="298"/>
      <c r="AO187" s="7">
        <v>882</v>
      </c>
      <c r="AP187" s="73">
        <v>526</v>
      </c>
      <c r="AQ187" s="40">
        <v>22</v>
      </c>
      <c r="AR187" s="255">
        <f>AO187-AP187-22</f>
        <v>334</v>
      </c>
      <c r="AS187" s="6"/>
      <c r="AT187" s="112"/>
    </row>
    <row r="188" spans="1:46" s="169" customFormat="1" ht="24.75" customHeight="1">
      <c r="A188" s="164" t="s">
        <v>432</v>
      </c>
      <c r="B188" s="164" t="s">
        <v>284</v>
      </c>
      <c r="C188" s="186"/>
      <c r="D188" s="187"/>
      <c r="E188" s="187"/>
      <c r="F188" s="170"/>
      <c r="G188" s="170"/>
      <c r="H188" s="170"/>
      <c r="I188" s="170"/>
      <c r="J188" s="188"/>
      <c r="K188" s="170"/>
      <c r="L188" s="170"/>
      <c r="M188" s="170"/>
      <c r="N188" s="170"/>
      <c r="O188" s="170"/>
      <c r="P188" s="170"/>
      <c r="Q188" s="170"/>
      <c r="R188" s="170"/>
      <c r="S188" s="170"/>
      <c r="T188" s="173"/>
      <c r="U188" s="173"/>
      <c r="V188" s="173"/>
      <c r="W188" s="173"/>
      <c r="X188" s="173"/>
      <c r="Y188" s="173"/>
      <c r="Z188" s="165"/>
      <c r="AA188" s="165"/>
      <c r="AB188" s="165"/>
      <c r="AC188" s="165"/>
      <c r="AD188" s="165"/>
      <c r="AE188" s="165"/>
      <c r="AF188" s="165"/>
      <c r="AG188" s="165"/>
      <c r="AH188" s="167"/>
      <c r="AI188" s="167"/>
      <c r="AJ188" s="174"/>
      <c r="AK188" s="174"/>
      <c r="AL188" s="174"/>
      <c r="AM188" s="166"/>
      <c r="AN188" s="168"/>
      <c r="AO188" s="182">
        <f>AO189+AO190</f>
        <v>455</v>
      </c>
      <c r="AP188" s="182">
        <f>AP189+AP190</f>
        <v>132</v>
      </c>
      <c r="AQ188" s="165">
        <f>400+160+223+81.5</f>
        <v>864.5</v>
      </c>
      <c r="AR188" s="238">
        <f t="shared" si="9"/>
        <v>-541.5</v>
      </c>
      <c r="AS188" s="166"/>
      <c r="AT188" s="116"/>
    </row>
    <row r="189" spans="1:46" ht="24.75" customHeight="1">
      <c r="A189" s="41" t="s">
        <v>433</v>
      </c>
      <c r="B189" s="41" t="s">
        <v>138</v>
      </c>
      <c r="C189" s="42" t="s">
        <v>139</v>
      </c>
      <c r="D189" s="41" t="s">
        <v>0</v>
      </c>
      <c r="E189" s="47" t="s">
        <v>262</v>
      </c>
      <c r="F189" s="26">
        <v>1</v>
      </c>
      <c r="G189" s="25" t="s">
        <v>237</v>
      </c>
      <c r="H189" s="26" t="s">
        <v>237</v>
      </c>
      <c r="I189" s="25" t="s">
        <v>237</v>
      </c>
      <c r="J189" s="36">
        <v>1</v>
      </c>
      <c r="K189" s="26" t="s">
        <v>237</v>
      </c>
      <c r="L189" s="26" t="s">
        <v>237</v>
      </c>
      <c r="M189" s="25" t="s">
        <v>241</v>
      </c>
      <c r="N189" s="27">
        <v>1</v>
      </c>
      <c r="O189" s="25" t="s">
        <v>237</v>
      </c>
      <c r="P189" s="26" t="s">
        <v>237</v>
      </c>
      <c r="Q189" s="26" t="s">
        <v>237</v>
      </c>
      <c r="R189" s="27">
        <v>3</v>
      </c>
      <c r="S189" s="26" t="s">
        <v>237</v>
      </c>
      <c r="T189" s="28">
        <v>1</v>
      </c>
      <c r="U189" s="28">
        <v>4</v>
      </c>
      <c r="V189" s="28">
        <v>1</v>
      </c>
      <c r="W189" s="28"/>
      <c r="X189" s="28"/>
      <c r="Y189" s="28"/>
      <c r="Z189" s="9"/>
      <c r="AA189" s="9"/>
      <c r="AB189" s="9"/>
      <c r="AC189" s="9"/>
      <c r="AD189" s="9"/>
      <c r="AE189" s="9"/>
      <c r="AF189" s="9"/>
      <c r="AG189" s="9"/>
      <c r="AH189" s="7">
        <v>2</v>
      </c>
      <c r="AI189" s="7">
        <v>0</v>
      </c>
      <c r="AJ189" s="17">
        <v>0</v>
      </c>
      <c r="AK189" s="17">
        <v>0</v>
      </c>
      <c r="AL189" s="17">
        <v>2</v>
      </c>
      <c r="AM189" s="6">
        <v>2006</v>
      </c>
      <c r="AN189" s="298" t="s">
        <v>140</v>
      </c>
      <c r="AO189" s="13">
        <v>280</v>
      </c>
      <c r="AP189" s="45">
        <v>132</v>
      </c>
      <c r="AQ189" s="39" t="s">
        <v>352</v>
      </c>
      <c r="AR189" s="255">
        <f>AO189-AP189-223</f>
        <v>-75</v>
      </c>
      <c r="AS189" s="6"/>
      <c r="AT189" s="112"/>
    </row>
    <row r="190" spans="1:46" ht="24.75" customHeight="1">
      <c r="A190" s="41" t="s">
        <v>434</v>
      </c>
      <c r="B190" s="41" t="s">
        <v>141</v>
      </c>
      <c r="C190" s="42" t="s">
        <v>142</v>
      </c>
      <c r="D190" s="21" t="s">
        <v>0</v>
      </c>
      <c r="E190" s="21" t="s">
        <v>261</v>
      </c>
      <c r="F190" s="22">
        <v>1</v>
      </c>
      <c r="G190" s="25" t="s">
        <v>237</v>
      </c>
      <c r="H190" s="26" t="s">
        <v>237</v>
      </c>
      <c r="I190" s="25" t="s">
        <v>237</v>
      </c>
      <c r="J190" s="36">
        <v>1</v>
      </c>
      <c r="K190" s="26" t="s">
        <v>237</v>
      </c>
      <c r="L190" s="26" t="s">
        <v>237</v>
      </c>
      <c r="M190" s="25" t="s">
        <v>241</v>
      </c>
      <c r="N190" s="27">
        <v>1</v>
      </c>
      <c r="O190" s="25" t="s">
        <v>237</v>
      </c>
      <c r="P190" s="26" t="s">
        <v>237</v>
      </c>
      <c r="Q190" s="26" t="s">
        <v>237</v>
      </c>
      <c r="R190" s="27">
        <v>3</v>
      </c>
      <c r="S190" s="26" t="s">
        <v>237</v>
      </c>
      <c r="T190" s="28">
        <v>1</v>
      </c>
      <c r="U190" s="28">
        <v>5</v>
      </c>
      <c r="V190" s="28">
        <v>1</v>
      </c>
      <c r="W190" s="28"/>
      <c r="X190" s="28"/>
      <c r="Y190" s="28"/>
      <c r="Z190" s="9"/>
      <c r="AA190" s="9"/>
      <c r="AB190" s="9"/>
      <c r="AC190" s="9"/>
      <c r="AD190" s="9"/>
      <c r="AE190" s="9"/>
      <c r="AF190" s="9"/>
      <c r="AG190" s="9"/>
      <c r="AH190" s="7">
        <v>2</v>
      </c>
      <c r="AI190" s="7">
        <v>0</v>
      </c>
      <c r="AJ190" s="17">
        <v>0</v>
      </c>
      <c r="AK190" s="17">
        <v>0</v>
      </c>
      <c r="AL190" s="17">
        <v>2</v>
      </c>
      <c r="AM190" s="6">
        <v>2006</v>
      </c>
      <c r="AN190" s="298"/>
      <c r="AO190" s="13">
        <v>175</v>
      </c>
      <c r="AP190" s="45">
        <v>0</v>
      </c>
      <c r="AQ190" s="39" t="s">
        <v>353</v>
      </c>
      <c r="AR190" s="255">
        <f>AO190-AP190-81.5</f>
        <v>93.5</v>
      </c>
      <c r="AS190" s="6"/>
      <c r="AT190" s="112"/>
    </row>
    <row r="191" spans="1:46" s="169" customFormat="1" ht="24.75" customHeight="1">
      <c r="A191" s="164" t="s">
        <v>644</v>
      </c>
      <c r="B191" s="164" t="s">
        <v>562</v>
      </c>
      <c r="C191" s="186"/>
      <c r="D191" s="187"/>
      <c r="E191" s="187"/>
      <c r="F191" s="170"/>
      <c r="G191" s="170"/>
      <c r="H191" s="170"/>
      <c r="I191" s="170"/>
      <c r="J191" s="188"/>
      <c r="K191" s="170"/>
      <c r="L191" s="170"/>
      <c r="M191" s="170"/>
      <c r="N191" s="170"/>
      <c r="O191" s="170"/>
      <c r="P191" s="170"/>
      <c r="Q191" s="170"/>
      <c r="R191" s="170"/>
      <c r="S191" s="170"/>
      <c r="T191" s="173"/>
      <c r="U191" s="173"/>
      <c r="V191" s="173"/>
      <c r="W191" s="173"/>
      <c r="X191" s="173"/>
      <c r="Y191" s="173"/>
      <c r="Z191" s="165"/>
      <c r="AA191" s="165"/>
      <c r="AB191" s="165"/>
      <c r="AC191" s="165"/>
      <c r="AD191" s="165"/>
      <c r="AE191" s="165"/>
      <c r="AF191" s="165"/>
      <c r="AG191" s="165"/>
      <c r="AH191" s="167"/>
      <c r="AI191" s="167"/>
      <c r="AJ191" s="174"/>
      <c r="AK191" s="174"/>
      <c r="AL191" s="174"/>
      <c r="AM191" s="166"/>
      <c r="AN191" s="168"/>
      <c r="AO191" s="182">
        <v>1827</v>
      </c>
      <c r="AP191" s="182">
        <f>SUM(AP192:AP194)</f>
        <v>1226</v>
      </c>
      <c r="AQ191" s="182">
        <f>AQ192+AQ193+AQ194</f>
        <v>2415.8</v>
      </c>
      <c r="AR191" s="268">
        <f>AO191-AP191-AQ191</f>
        <v>-1814.8000000000002</v>
      </c>
      <c r="AS191" s="166"/>
      <c r="AT191" s="116"/>
    </row>
    <row r="192" spans="1:46" ht="24.75" customHeight="1">
      <c r="A192" s="41" t="s">
        <v>435</v>
      </c>
      <c r="B192" s="41" t="s">
        <v>416</v>
      </c>
      <c r="C192" s="42" t="s">
        <v>417</v>
      </c>
      <c r="D192" s="41" t="s">
        <v>0</v>
      </c>
      <c r="E192" s="47" t="s">
        <v>351</v>
      </c>
      <c r="F192" s="26">
        <v>2</v>
      </c>
      <c r="G192" s="25" t="s">
        <v>237</v>
      </c>
      <c r="H192" s="26" t="s">
        <v>237</v>
      </c>
      <c r="I192" s="25" t="s">
        <v>237</v>
      </c>
      <c r="J192" s="36">
        <v>1</v>
      </c>
      <c r="K192" s="26" t="s">
        <v>237</v>
      </c>
      <c r="L192" s="26" t="s">
        <v>237</v>
      </c>
      <c r="M192" s="25" t="s">
        <v>241</v>
      </c>
      <c r="N192" s="27">
        <v>1</v>
      </c>
      <c r="O192" s="25" t="s">
        <v>237</v>
      </c>
      <c r="P192" s="26" t="s">
        <v>237</v>
      </c>
      <c r="Q192" s="26" t="s">
        <v>237</v>
      </c>
      <c r="R192" s="27">
        <v>3</v>
      </c>
      <c r="S192" s="26" t="s">
        <v>237</v>
      </c>
      <c r="T192" s="28">
        <v>1</v>
      </c>
      <c r="U192" s="28">
        <v>4</v>
      </c>
      <c r="V192" s="28">
        <v>1</v>
      </c>
      <c r="W192" s="28"/>
      <c r="X192" s="28"/>
      <c r="Y192" s="28"/>
      <c r="Z192" s="9"/>
      <c r="AA192" s="9"/>
      <c r="AB192" s="9"/>
      <c r="AC192" s="9"/>
      <c r="AD192" s="9"/>
      <c r="AE192" s="9"/>
      <c r="AF192" s="9"/>
      <c r="AG192" s="9"/>
      <c r="AH192" s="7">
        <v>2</v>
      </c>
      <c r="AI192" s="7">
        <v>0</v>
      </c>
      <c r="AJ192" s="17">
        <v>0</v>
      </c>
      <c r="AK192" s="17">
        <v>0</v>
      </c>
      <c r="AL192" s="17">
        <v>2</v>
      </c>
      <c r="AM192" s="6">
        <v>2013</v>
      </c>
      <c r="AN192" s="8" t="s">
        <v>420</v>
      </c>
      <c r="AO192" s="13">
        <v>1400</v>
      </c>
      <c r="AP192" s="45">
        <v>453</v>
      </c>
      <c r="AQ192" s="39">
        <f>SUM(303.1+722.2)+100+100+165+100+52.4-30-30</f>
        <v>1482.7000000000003</v>
      </c>
      <c r="AR192" s="255">
        <f>AO192-AP192-AQ192</f>
        <v>-535.7000000000003</v>
      </c>
      <c r="AS192" s="6"/>
      <c r="AT192" s="112"/>
    </row>
    <row r="193" spans="1:46" ht="24.75" customHeight="1">
      <c r="A193" s="41" t="s">
        <v>436</v>
      </c>
      <c r="B193" s="41" t="s">
        <v>418</v>
      </c>
      <c r="C193" s="42" t="s">
        <v>419</v>
      </c>
      <c r="D193" s="41" t="s">
        <v>0</v>
      </c>
      <c r="E193" s="47" t="s">
        <v>351</v>
      </c>
      <c r="F193" s="26">
        <v>2</v>
      </c>
      <c r="G193" s="25" t="s">
        <v>237</v>
      </c>
      <c r="H193" s="26" t="s">
        <v>237</v>
      </c>
      <c r="I193" s="25" t="s">
        <v>237</v>
      </c>
      <c r="J193" s="36">
        <v>1</v>
      </c>
      <c r="K193" s="26" t="s">
        <v>237</v>
      </c>
      <c r="L193" s="26" t="s">
        <v>237</v>
      </c>
      <c r="M193" s="25" t="s">
        <v>241</v>
      </c>
      <c r="N193" s="27">
        <v>1</v>
      </c>
      <c r="O193" s="25" t="s">
        <v>237</v>
      </c>
      <c r="P193" s="26" t="s">
        <v>237</v>
      </c>
      <c r="Q193" s="26" t="s">
        <v>237</v>
      </c>
      <c r="R193" s="27">
        <v>3</v>
      </c>
      <c r="S193" s="26" t="s">
        <v>237</v>
      </c>
      <c r="T193" s="28">
        <v>1</v>
      </c>
      <c r="U193" s="28">
        <v>4</v>
      </c>
      <c r="V193" s="28">
        <v>1</v>
      </c>
      <c r="W193" s="28"/>
      <c r="X193" s="28"/>
      <c r="Y193" s="28"/>
      <c r="Z193" s="9"/>
      <c r="AA193" s="9"/>
      <c r="AB193" s="9"/>
      <c r="AC193" s="9"/>
      <c r="AD193" s="9"/>
      <c r="AE193" s="9"/>
      <c r="AF193" s="9"/>
      <c r="AG193" s="9"/>
      <c r="AH193" s="7">
        <v>2</v>
      </c>
      <c r="AI193" s="7">
        <v>0</v>
      </c>
      <c r="AJ193" s="17">
        <v>0</v>
      </c>
      <c r="AK193" s="17">
        <v>0</v>
      </c>
      <c r="AL193" s="17">
        <v>2</v>
      </c>
      <c r="AM193" s="6">
        <v>2013</v>
      </c>
      <c r="AN193" s="8" t="s">
        <v>420</v>
      </c>
      <c r="AO193" s="13">
        <v>1400</v>
      </c>
      <c r="AP193" s="45">
        <v>230</v>
      </c>
      <c r="AQ193" s="39">
        <f>SUM(109.2+467.4)+45+3.5</f>
        <v>625.1</v>
      </c>
      <c r="AR193" s="255">
        <f>AO193-AP193-AQ193</f>
        <v>544.9</v>
      </c>
      <c r="AS193" s="6"/>
      <c r="AT193" s="112"/>
    </row>
    <row r="194" spans="1:46" ht="24.75" customHeight="1">
      <c r="A194" s="41" t="s">
        <v>437</v>
      </c>
      <c r="B194" s="41" t="s">
        <v>92</v>
      </c>
      <c r="C194" s="42" t="s">
        <v>68</v>
      </c>
      <c r="D194" s="21" t="s">
        <v>2</v>
      </c>
      <c r="E194" s="21">
        <v>1000</v>
      </c>
      <c r="F194" s="22">
        <v>1</v>
      </c>
      <c r="G194" s="23" t="s">
        <v>244</v>
      </c>
      <c r="H194" s="32">
        <v>2</v>
      </c>
      <c r="I194" s="23" t="s">
        <v>237</v>
      </c>
      <c r="J194" s="24">
        <v>2</v>
      </c>
      <c r="K194" s="22" t="s">
        <v>237</v>
      </c>
      <c r="L194" s="22" t="s">
        <v>237</v>
      </c>
      <c r="M194" s="23" t="s">
        <v>237</v>
      </c>
      <c r="N194" s="22" t="s">
        <v>237</v>
      </c>
      <c r="O194" s="25" t="s">
        <v>237</v>
      </c>
      <c r="P194" s="26" t="s">
        <v>237</v>
      </c>
      <c r="Q194" s="27">
        <v>2</v>
      </c>
      <c r="R194" s="26" t="s">
        <v>237</v>
      </c>
      <c r="S194" s="26" t="s">
        <v>237</v>
      </c>
      <c r="T194" s="28">
        <v>5</v>
      </c>
      <c r="U194" s="28">
        <v>19</v>
      </c>
      <c r="V194" s="28">
        <v>2</v>
      </c>
      <c r="W194" s="28"/>
      <c r="X194" s="28"/>
      <c r="Y194" s="28"/>
      <c r="Z194" s="9"/>
      <c r="AA194" s="9"/>
      <c r="AB194" s="9"/>
      <c r="AC194" s="9"/>
      <c r="AD194" s="9"/>
      <c r="AE194" s="9"/>
      <c r="AF194" s="9"/>
      <c r="AG194" s="9"/>
      <c r="AH194" s="7">
        <v>1</v>
      </c>
      <c r="AI194" s="7">
        <v>0</v>
      </c>
      <c r="AJ194" s="17">
        <v>0</v>
      </c>
      <c r="AK194" s="17">
        <v>0</v>
      </c>
      <c r="AL194" s="17">
        <v>1</v>
      </c>
      <c r="AM194" s="6">
        <v>2006</v>
      </c>
      <c r="AN194" s="8" t="s">
        <v>93</v>
      </c>
      <c r="AO194" s="6">
        <v>700</v>
      </c>
      <c r="AP194" s="45">
        <f>493+50</f>
        <v>543</v>
      </c>
      <c r="AQ194" s="8">
        <f>15+50+25+50+68+80-80-50+150</f>
        <v>308</v>
      </c>
      <c r="AR194" s="255">
        <f>AO194-AP194-AQ194</f>
        <v>-151</v>
      </c>
      <c r="AS194" s="6">
        <v>2010</v>
      </c>
      <c r="AT194" s="112"/>
    </row>
    <row r="195" spans="1:45" s="112" customFormat="1" ht="53.25" customHeight="1">
      <c r="A195" s="137"/>
      <c r="B195" s="139" t="s">
        <v>551</v>
      </c>
      <c r="C195" s="140"/>
      <c r="E195" s="139"/>
      <c r="F195" s="141"/>
      <c r="G195" s="111"/>
      <c r="H195" s="111"/>
      <c r="AM195" s="142"/>
      <c r="AN195" s="213"/>
      <c r="AO195" s="111" t="s">
        <v>588</v>
      </c>
      <c r="AP195" s="113">
        <f>AP196+AP210</f>
        <v>3064.85</v>
      </c>
      <c r="AQ195" s="113">
        <f>AQ196+AQ210</f>
        <v>114.75</v>
      </c>
      <c r="AR195" s="269"/>
      <c r="AS195" s="120"/>
    </row>
    <row r="196" spans="1:46" s="106" customFormat="1" ht="39" customHeight="1">
      <c r="A196" s="216" t="s">
        <v>438</v>
      </c>
      <c r="B196" s="136" t="s">
        <v>550</v>
      </c>
      <c r="C196" s="136"/>
      <c r="E196" s="136"/>
      <c r="F196" s="136"/>
      <c r="G196" s="138"/>
      <c r="H196" s="138"/>
      <c r="AM196" s="136"/>
      <c r="AN196" s="136"/>
      <c r="AO196" s="215">
        <f>SUM(AO197:AO208)</f>
        <v>5313</v>
      </c>
      <c r="AP196" s="215">
        <f>SUM(AP197:AP208)</f>
        <v>2523.85</v>
      </c>
      <c r="AQ196" s="215">
        <f>SUM(AQ197:AQ208)</f>
        <v>100.75</v>
      </c>
      <c r="AR196" s="270">
        <f>AO196-AP196-AQ196</f>
        <v>2688.4</v>
      </c>
      <c r="AS196" s="214"/>
      <c r="AT196" s="116"/>
    </row>
    <row r="197" spans="1:46" s="106" customFormat="1" ht="30" customHeight="1">
      <c r="A197" s="96" t="s">
        <v>652</v>
      </c>
      <c r="B197" s="105" t="s">
        <v>493</v>
      </c>
      <c r="C197" s="92" t="s">
        <v>348</v>
      </c>
      <c r="D197" s="44"/>
      <c r="E197" s="92">
        <v>800</v>
      </c>
      <c r="F197" s="92">
        <v>2</v>
      </c>
      <c r="G197" s="92"/>
      <c r="H197" s="92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92"/>
      <c r="AN197" s="97" t="s">
        <v>367</v>
      </c>
      <c r="AO197" s="92">
        <f aca="true" t="shared" si="10" ref="AO197:AO208">E197*0.7</f>
        <v>560</v>
      </c>
      <c r="AP197" s="92">
        <f>354+279+118.4+305.45</f>
        <v>1056.85</v>
      </c>
      <c r="AQ197" s="95">
        <f>305.45+2.25-305.45</f>
        <v>2.25</v>
      </c>
      <c r="AR197" s="271">
        <f aca="true" t="shared" si="11" ref="AR197:AR229">AO197-AP197-AQ197</f>
        <v>-499.0999999999999</v>
      </c>
      <c r="AS197" s="89"/>
      <c r="AT197" s="116"/>
    </row>
    <row r="198" spans="1:45" ht="31.5" customHeight="1">
      <c r="A198" s="96" t="s">
        <v>653</v>
      </c>
      <c r="B198" s="90" t="s">
        <v>503</v>
      </c>
      <c r="C198" s="92" t="s">
        <v>348</v>
      </c>
      <c r="D198" s="44"/>
      <c r="E198" s="92">
        <v>1030</v>
      </c>
      <c r="F198" s="92">
        <v>2</v>
      </c>
      <c r="G198" s="92"/>
      <c r="H198" s="92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92"/>
      <c r="AN198" s="95" t="s">
        <v>366</v>
      </c>
      <c r="AO198" s="92">
        <f t="shared" si="10"/>
        <v>721</v>
      </c>
      <c r="AP198" s="92">
        <f>271+25</f>
        <v>296</v>
      </c>
      <c r="AQ198" s="95">
        <f>30-25</f>
        <v>5</v>
      </c>
      <c r="AR198" s="271">
        <f t="shared" si="11"/>
        <v>420</v>
      </c>
      <c r="AS198" s="89"/>
    </row>
    <row r="199" spans="1:45" ht="63" customHeight="1">
      <c r="A199" s="96" t="s">
        <v>654</v>
      </c>
      <c r="B199" s="90" t="s">
        <v>502</v>
      </c>
      <c r="C199" s="92" t="s">
        <v>348</v>
      </c>
      <c r="D199" s="44"/>
      <c r="E199" s="92">
        <v>800</v>
      </c>
      <c r="F199" s="92">
        <v>2</v>
      </c>
      <c r="G199" s="92"/>
      <c r="H199" s="92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92"/>
      <c r="AN199" s="95" t="s">
        <v>368</v>
      </c>
      <c r="AO199" s="92">
        <f t="shared" si="10"/>
        <v>560</v>
      </c>
      <c r="AP199" s="92">
        <f>312+30+32</f>
        <v>374</v>
      </c>
      <c r="AQ199" s="95">
        <f>10+18+50.5+32-32</f>
        <v>78.5</v>
      </c>
      <c r="AR199" s="271">
        <f t="shared" si="11"/>
        <v>107.5</v>
      </c>
      <c r="AS199" s="89"/>
    </row>
    <row r="200" spans="1:45" ht="51.75" customHeight="1">
      <c r="A200" s="96" t="s">
        <v>655</v>
      </c>
      <c r="B200" s="90" t="s">
        <v>501</v>
      </c>
      <c r="C200" s="92" t="s">
        <v>348</v>
      </c>
      <c r="D200" s="44"/>
      <c r="E200" s="92">
        <v>500</v>
      </c>
      <c r="F200" s="92">
        <v>2</v>
      </c>
      <c r="G200" s="92"/>
      <c r="H200" s="92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92"/>
      <c r="AN200" s="95" t="s">
        <v>369</v>
      </c>
      <c r="AO200" s="92">
        <f t="shared" si="10"/>
        <v>350</v>
      </c>
      <c r="AP200" s="92">
        <f>119+15</f>
        <v>134</v>
      </c>
      <c r="AQ200" s="95">
        <f>15-15</f>
        <v>0</v>
      </c>
      <c r="AR200" s="271">
        <f t="shared" si="11"/>
        <v>216</v>
      </c>
      <c r="AS200" s="89"/>
    </row>
    <row r="201" spans="1:45" ht="48" customHeight="1">
      <c r="A201" s="96" t="s">
        <v>656</v>
      </c>
      <c r="B201" s="90" t="s">
        <v>495</v>
      </c>
      <c r="C201" s="92" t="s">
        <v>348</v>
      </c>
      <c r="D201" s="44"/>
      <c r="E201" s="92">
        <v>800</v>
      </c>
      <c r="F201" s="92">
        <v>2</v>
      </c>
      <c r="G201" s="92"/>
      <c r="H201" s="92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92"/>
      <c r="AN201" s="97" t="s">
        <v>360</v>
      </c>
      <c r="AO201" s="92">
        <f t="shared" si="10"/>
        <v>560</v>
      </c>
      <c r="AP201" s="92">
        <f>156+55+5</f>
        <v>216</v>
      </c>
      <c r="AQ201" s="95">
        <f>10+5-10-5</f>
        <v>0</v>
      </c>
      <c r="AR201" s="271">
        <f t="shared" si="11"/>
        <v>344</v>
      </c>
      <c r="AS201" s="89"/>
    </row>
    <row r="202" spans="1:45" ht="63.75" customHeight="1">
      <c r="A202" s="96" t="s">
        <v>657</v>
      </c>
      <c r="B202" s="157" t="s">
        <v>496</v>
      </c>
      <c r="C202" s="158" t="s">
        <v>348</v>
      </c>
      <c r="D202" s="44"/>
      <c r="E202" s="158">
        <v>400</v>
      </c>
      <c r="F202" s="158">
        <v>1</v>
      </c>
      <c r="G202" s="158"/>
      <c r="H202" s="158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158"/>
      <c r="AN202" s="159" t="s">
        <v>370</v>
      </c>
      <c r="AO202" s="158">
        <f t="shared" si="10"/>
        <v>280</v>
      </c>
      <c r="AP202" s="158">
        <v>29</v>
      </c>
      <c r="AQ202" s="160">
        <v>0</v>
      </c>
      <c r="AR202" s="272">
        <f t="shared" si="11"/>
        <v>251</v>
      </c>
      <c r="AS202" s="89"/>
    </row>
    <row r="203" spans="1:80" s="6" customFormat="1" ht="35.25" customHeight="1">
      <c r="A203" s="96" t="s">
        <v>658</v>
      </c>
      <c r="B203" s="90" t="s">
        <v>497</v>
      </c>
      <c r="C203" s="92" t="s">
        <v>348</v>
      </c>
      <c r="D203" s="15"/>
      <c r="E203" s="92">
        <v>400</v>
      </c>
      <c r="F203" s="92">
        <v>1</v>
      </c>
      <c r="G203" s="92"/>
      <c r="H203" s="92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92"/>
      <c r="AN203" s="97" t="s">
        <v>371</v>
      </c>
      <c r="AO203" s="92">
        <f t="shared" si="10"/>
        <v>280</v>
      </c>
      <c r="AP203" s="92">
        <f>101+25</f>
        <v>126</v>
      </c>
      <c r="AQ203" s="95">
        <f>25+15-25+20-20</f>
        <v>15</v>
      </c>
      <c r="AR203" s="271">
        <f t="shared" si="11"/>
        <v>139</v>
      </c>
      <c r="AS203" s="89"/>
      <c r="AT203" s="116"/>
      <c r="AU203" s="44"/>
      <c r="AV203" s="44"/>
      <c r="AW203" s="44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102"/>
    </row>
    <row r="204" spans="1:80" s="6" customFormat="1" ht="41.25" customHeight="1">
      <c r="A204" s="96" t="s">
        <v>659</v>
      </c>
      <c r="B204" s="90" t="s">
        <v>498</v>
      </c>
      <c r="C204" s="92" t="s">
        <v>348</v>
      </c>
      <c r="D204" s="15"/>
      <c r="E204" s="92">
        <v>630</v>
      </c>
      <c r="F204" s="92">
        <v>1</v>
      </c>
      <c r="G204" s="92"/>
      <c r="H204" s="92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92"/>
      <c r="AN204" s="97" t="s">
        <v>372</v>
      </c>
      <c r="AO204" s="92">
        <f t="shared" si="10"/>
        <v>441</v>
      </c>
      <c r="AP204" s="92">
        <v>10</v>
      </c>
      <c r="AQ204" s="95">
        <v>0</v>
      </c>
      <c r="AR204" s="271">
        <f t="shared" si="11"/>
        <v>431</v>
      </c>
      <c r="AS204" s="89"/>
      <c r="AT204" s="116"/>
      <c r="AU204" s="44"/>
      <c r="AV204" s="44"/>
      <c r="AW204" s="44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102"/>
    </row>
    <row r="205" spans="1:118" s="15" customFormat="1" ht="40.5" customHeight="1">
      <c r="A205" s="96" t="s">
        <v>660</v>
      </c>
      <c r="B205" s="90" t="s">
        <v>499</v>
      </c>
      <c r="C205" s="92" t="s">
        <v>348</v>
      </c>
      <c r="E205" s="92">
        <v>400</v>
      </c>
      <c r="F205" s="92">
        <v>1</v>
      </c>
      <c r="G205" s="92"/>
      <c r="H205" s="92"/>
      <c r="AM205" s="92"/>
      <c r="AN205" s="92" t="s">
        <v>376</v>
      </c>
      <c r="AO205" s="92">
        <f t="shared" si="10"/>
        <v>280</v>
      </c>
      <c r="AP205" s="92">
        <v>16</v>
      </c>
      <c r="AQ205" s="95">
        <v>0</v>
      </c>
      <c r="AR205" s="271">
        <f t="shared" si="11"/>
        <v>264</v>
      </c>
      <c r="AS205" s="89"/>
      <c r="AT205" s="116"/>
      <c r="AU205" s="44"/>
      <c r="AV205" s="44"/>
      <c r="AW205" s="44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102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</row>
    <row r="206" spans="1:118" s="44" customFormat="1" ht="42.75" customHeight="1">
      <c r="A206" s="96" t="s">
        <v>661</v>
      </c>
      <c r="B206" s="161" t="s">
        <v>492</v>
      </c>
      <c r="C206" s="162" t="s">
        <v>348</v>
      </c>
      <c r="E206" s="162">
        <v>400</v>
      </c>
      <c r="F206" s="162">
        <v>1</v>
      </c>
      <c r="G206" s="162"/>
      <c r="H206" s="162"/>
      <c r="AM206" s="162"/>
      <c r="AN206" s="162" t="s">
        <v>377</v>
      </c>
      <c r="AO206" s="162">
        <f t="shared" si="10"/>
        <v>280</v>
      </c>
      <c r="AP206" s="162">
        <v>2</v>
      </c>
      <c r="AQ206" s="163">
        <v>0</v>
      </c>
      <c r="AR206" s="273">
        <f t="shared" si="11"/>
        <v>278</v>
      </c>
      <c r="AS206" s="89"/>
      <c r="AT206" s="116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</row>
    <row r="207" spans="1:118" s="44" customFormat="1" ht="32.25" customHeight="1">
      <c r="A207" s="96" t="s">
        <v>662</v>
      </c>
      <c r="B207" s="90" t="s">
        <v>494</v>
      </c>
      <c r="C207" s="92" t="s">
        <v>348</v>
      </c>
      <c r="E207" s="92">
        <v>400</v>
      </c>
      <c r="F207" s="92">
        <v>1</v>
      </c>
      <c r="G207" s="92"/>
      <c r="H207" s="92"/>
      <c r="AM207" s="92"/>
      <c r="AN207" s="92" t="s">
        <v>378</v>
      </c>
      <c r="AO207" s="92">
        <f t="shared" si="10"/>
        <v>280</v>
      </c>
      <c r="AP207" s="92">
        <v>188</v>
      </c>
      <c r="AQ207" s="95">
        <v>0</v>
      </c>
      <c r="AR207" s="271">
        <f t="shared" si="11"/>
        <v>92</v>
      </c>
      <c r="AS207" s="89"/>
      <c r="AT207" s="116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</row>
    <row r="208" spans="1:118" s="44" customFormat="1" ht="65.25" customHeight="1">
      <c r="A208" s="96" t="s">
        <v>663</v>
      </c>
      <c r="B208" s="114" t="s">
        <v>500</v>
      </c>
      <c r="C208" s="115" t="s">
        <v>348</v>
      </c>
      <c r="D208" s="116"/>
      <c r="E208" s="115">
        <v>1030</v>
      </c>
      <c r="F208" s="115">
        <v>2</v>
      </c>
      <c r="G208" s="115"/>
      <c r="H208" s="115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5"/>
      <c r="AN208" s="115" t="s">
        <v>379</v>
      </c>
      <c r="AO208" s="115">
        <f t="shared" si="10"/>
        <v>721</v>
      </c>
      <c r="AP208" s="115">
        <v>76</v>
      </c>
      <c r="AQ208" s="117">
        <v>0</v>
      </c>
      <c r="AR208" s="274">
        <f t="shared" si="11"/>
        <v>645</v>
      </c>
      <c r="AS208" s="118" t="s">
        <v>439</v>
      </c>
      <c r="AT208" s="116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</row>
    <row r="209" spans="1:45" s="116" customFormat="1" ht="62.25" customHeight="1">
      <c r="A209" s="401" t="s">
        <v>664</v>
      </c>
      <c r="B209" s="403" t="s">
        <v>481</v>
      </c>
      <c r="C209" s="396"/>
      <c r="D209" s="106"/>
      <c r="E209" s="397"/>
      <c r="F209" s="397"/>
      <c r="G209" s="107"/>
      <c r="H209" s="107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397"/>
      <c r="AN209" s="135" t="s">
        <v>587</v>
      </c>
      <c r="AO209" s="138" t="s">
        <v>645</v>
      </c>
      <c r="AP209" s="121"/>
      <c r="AQ209" s="108"/>
      <c r="AR209" s="275"/>
      <c r="AS209" s="109"/>
    </row>
    <row r="210" spans="1:46" s="106" customFormat="1" ht="21.75" customHeight="1">
      <c r="A210" s="407"/>
      <c r="B210" s="408"/>
      <c r="C210" s="396"/>
      <c r="E210" s="400"/>
      <c r="F210" s="400"/>
      <c r="G210" s="107"/>
      <c r="H210" s="107"/>
      <c r="AM210" s="400"/>
      <c r="AN210" s="110" t="s">
        <v>504</v>
      </c>
      <c r="AO210" s="108">
        <f>SUM(AO211:AO214)</f>
        <v>2448</v>
      </c>
      <c r="AP210" s="108">
        <f>SUM(AP211:AP214)</f>
        <v>541</v>
      </c>
      <c r="AQ210" s="108">
        <f>SUM(AQ211:AQ214)</f>
        <v>14</v>
      </c>
      <c r="AR210" s="276">
        <f>SUM(AR211:AR214)</f>
        <v>1893</v>
      </c>
      <c r="AS210" s="109"/>
      <c r="AT210" s="116"/>
    </row>
    <row r="211" spans="1:46" s="106" customFormat="1" ht="30" customHeight="1">
      <c r="A211" s="96" t="s">
        <v>665</v>
      </c>
      <c r="B211" s="90" t="s">
        <v>482</v>
      </c>
      <c r="C211" s="115" t="s">
        <v>348</v>
      </c>
      <c r="D211" s="44"/>
      <c r="E211" s="92">
        <v>630</v>
      </c>
      <c r="F211" s="92">
        <v>1</v>
      </c>
      <c r="G211" s="92"/>
      <c r="H211" s="92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92"/>
      <c r="AN211" s="92" t="s">
        <v>483</v>
      </c>
      <c r="AO211" s="92">
        <v>504</v>
      </c>
      <c r="AP211" s="92">
        <f>80+200</f>
        <v>280</v>
      </c>
      <c r="AQ211" s="92">
        <f>SUM(14)+200-200</f>
        <v>14</v>
      </c>
      <c r="AR211" s="271">
        <f>AO211-AP211-AQ211</f>
        <v>210</v>
      </c>
      <c r="AS211" s="89"/>
      <c r="AT211" s="116"/>
    </row>
    <row r="212" spans="1:118" s="44" customFormat="1" ht="35.25" customHeight="1">
      <c r="A212" s="96" t="s">
        <v>666</v>
      </c>
      <c r="B212" s="90" t="s">
        <v>484</v>
      </c>
      <c r="C212" s="115" t="s">
        <v>348</v>
      </c>
      <c r="E212" s="92">
        <v>400</v>
      </c>
      <c r="F212" s="92">
        <v>1</v>
      </c>
      <c r="G212" s="92"/>
      <c r="H212" s="92"/>
      <c r="AM212" s="92"/>
      <c r="AN212" s="92" t="s">
        <v>485</v>
      </c>
      <c r="AO212" s="92">
        <v>320</v>
      </c>
      <c r="AP212" s="92">
        <f>121+40</f>
        <v>161</v>
      </c>
      <c r="AQ212" s="92">
        <v>0</v>
      </c>
      <c r="AR212" s="271">
        <f>AO212-AP212-AQ212</f>
        <v>159</v>
      </c>
      <c r="AS212" s="89"/>
      <c r="AT212" s="116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</row>
    <row r="213" spans="1:118" s="44" customFormat="1" ht="24.75" customHeight="1">
      <c r="A213" s="96" t="s">
        <v>667</v>
      </c>
      <c r="B213" s="90" t="s">
        <v>486</v>
      </c>
      <c r="C213" s="115" t="s">
        <v>348</v>
      </c>
      <c r="E213" s="92">
        <v>630</v>
      </c>
      <c r="F213" s="92">
        <v>1</v>
      </c>
      <c r="G213" s="92"/>
      <c r="H213" s="92"/>
      <c r="AM213" s="92"/>
      <c r="AN213" s="92" t="s">
        <v>487</v>
      </c>
      <c r="AO213" s="92">
        <v>504</v>
      </c>
      <c r="AP213" s="92">
        <v>100</v>
      </c>
      <c r="AQ213" s="92">
        <v>0</v>
      </c>
      <c r="AR213" s="271">
        <f>AO213-AP213-AQ213</f>
        <v>404</v>
      </c>
      <c r="AS213" s="89"/>
      <c r="AT213" s="116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</row>
    <row r="214" spans="1:46" s="57" customFormat="1" ht="62.25" customHeight="1">
      <c r="A214" s="96" t="s">
        <v>668</v>
      </c>
      <c r="B214" s="90" t="s">
        <v>488</v>
      </c>
      <c r="C214" s="115" t="s">
        <v>348</v>
      </c>
      <c r="D214" s="44"/>
      <c r="E214" s="92">
        <v>1600</v>
      </c>
      <c r="F214" s="92">
        <v>1</v>
      </c>
      <c r="G214" s="92"/>
      <c r="H214" s="92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92"/>
      <c r="AN214" s="92" t="s">
        <v>487</v>
      </c>
      <c r="AO214" s="97">
        <v>1120</v>
      </c>
      <c r="AP214" s="97">
        <v>0</v>
      </c>
      <c r="AQ214" s="97">
        <v>0</v>
      </c>
      <c r="AR214" s="277">
        <f>AO214-AP214-AQ214</f>
        <v>1120</v>
      </c>
      <c r="AS214" s="89"/>
      <c r="AT214" s="116"/>
    </row>
    <row r="215" spans="1:46" s="57" customFormat="1" ht="21.75" customHeight="1">
      <c r="A215" s="112"/>
      <c r="B215" s="218" t="s">
        <v>361</v>
      </c>
      <c r="C215" s="219"/>
      <c r="D215" s="219"/>
      <c r="E215" s="219"/>
      <c r="F215" s="219"/>
      <c r="G215" s="220"/>
      <c r="H215" s="221"/>
      <c r="I215" s="221"/>
      <c r="J215" s="222"/>
      <c r="K215" s="223"/>
      <c r="L215" s="223"/>
      <c r="M215" s="224"/>
      <c r="N215" s="221" t="s">
        <v>362</v>
      </c>
      <c r="O215" s="221">
        <f>SUM(O220:O250)</f>
        <v>0</v>
      </c>
      <c r="P215" s="221">
        <v>1989</v>
      </c>
      <c r="Q215" s="221"/>
      <c r="R215" s="225">
        <f>O215-P215-Q215</f>
        <v>-1989</v>
      </c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226"/>
      <c r="AN215" s="221" t="s">
        <v>536</v>
      </c>
      <c r="AO215" s="227">
        <v>5861</v>
      </c>
      <c r="AP215" s="227">
        <f>AP217+AP242</f>
        <v>6638</v>
      </c>
      <c r="AQ215" s="227">
        <f>AQ217+AQ242+200+320+160</f>
        <v>6112.42</v>
      </c>
      <c r="AR215" s="278">
        <f>AO215-AP215-AQ215</f>
        <v>-6889.42</v>
      </c>
      <c r="AS215" s="225"/>
      <c r="AT215" s="116"/>
    </row>
    <row r="216" spans="1:46" s="112" customFormat="1" ht="51" customHeight="1">
      <c r="A216" s="217">
        <v>15</v>
      </c>
      <c r="B216" s="228" t="s">
        <v>535</v>
      </c>
      <c r="C216" s="229"/>
      <c r="D216" s="106"/>
      <c r="E216" s="230"/>
      <c r="F216" s="230"/>
      <c r="G216" s="229"/>
      <c r="H216" s="229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230"/>
      <c r="AN216" s="230"/>
      <c r="AO216" s="229" t="s">
        <v>533</v>
      </c>
      <c r="AP216" s="231"/>
      <c r="AQ216" s="232"/>
      <c r="AR216" s="279"/>
      <c r="AS216" s="233"/>
      <c r="AT216" s="116"/>
    </row>
    <row r="217" spans="1:46" s="106" customFormat="1" ht="21.75" customHeight="1">
      <c r="A217" s="234"/>
      <c r="B217" s="235"/>
      <c r="C217" s="229"/>
      <c r="E217" s="236"/>
      <c r="F217" s="236"/>
      <c r="G217" s="229"/>
      <c r="H217" s="229"/>
      <c r="AM217" s="236"/>
      <c r="AN217" s="237"/>
      <c r="AO217" s="232">
        <v>4211</v>
      </c>
      <c r="AP217" s="230">
        <f>SUM(AP218:AP239)</f>
        <v>5925</v>
      </c>
      <c r="AQ217" s="230">
        <f>SUM(AQ218:AQ239)+30+320+160</f>
        <v>5112.42</v>
      </c>
      <c r="AR217" s="279">
        <f>AO217-AP217-AQ217</f>
        <v>-6826.42</v>
      </c>
      <c r="AS217" s="233"/>
      <c r="AT217" s="116"/>
    </row>
    <row r="218" spans="1:46" s="106" customFormat="1" ht="30" customHeight="1">
      <c r="A218" s="125" t="s">
        <v>534</v>
      </c>
      <c r="B218" s="126" t="s">
        <v>19</v>
      </c>
      <c r="C218" s="127" t="s">
        <v>292</v>
      </c>
      <c r="D218" s="128"/>
      <c r="E218" s="129"/>
      <c r="F218" s="129"/>
      <c r="G218" s="129"/>
      <c r="H218" s="129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9"/>
      <c r="AN218" s="130"/>
      <c r="AO218" s="129">
        <v>4560</v>
      </c>
      <c r="AP218" s="129"/>
      <c r="AQ218" s="129">
        <f>894.4+1026.4+433.3</f>
        <v>2354.1000000000004</v>
      </c>
      <c r="AR218" s="280">
        <f t="shared" si="11"/>
        <v>2205.8999999999996</v>
      </c>
      <c r="AS218" s="131"/>
      <c r="AT218" s="116"/>
    </row>
    <row r="219" spans="1:46" s="128" customFormat="1" ht="33.75" customHeight="1">
      <c r="A219" s="96"/>
      <c r="B219" s="90" t="s">
        <v>701</v>
      </c>
      <c r="C219" s="91" t="s">
        <v>292</v>
      </c>
      <c r="D219" s="44"/>
      <c r="E219" s="92"/>
      <c r="F219" s="92"/>
      <c r="G219" s="92"/>
      <c r="H219" s="92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92"/>
      <c r="AN219" s="98"/>
      <c r="AO219" s="92"/>
      <c r="AP219" s="92">
        <v>0</v>
      </c>
      <c r="AQ219" s="92">
        <f>30+15+15</f>
        <v>60</v>
      </c>
      <c r="AR219" s="271"/>
      <c r="AS219" s="89"/>
      <c r="AT219" s="116"/>
    </row>
    <row r="220" spans="1:46" s="128" customFormat="1" ht="33.75" customHeight="1">
      <c r="A220" s="96" t="s">
        <v>648</v>
      </c>
      <c r="B220" s="90" t="s">
        <v>519</v>
      </c>
      <c r="C220" s="91" t="s">
        <v>292</v>
      </c>
      <c r="D220" s="44"/>
      <c r="E220" s="92">
        <v>400</v>
      </c>
      <c r="F220" s="92">
        <v>1</v>
      </c>
      <c r="G220" s="92"/>
      <c r="H220" s="92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92"/>
      <c r="AN220" s="98" t="s">
        <v>373</v>
      </c>
      <c r="AO220" s="92">
        <v>320</v>
      </c>
      <c r="AP220" s="92">
        <f>162+30</f>
        <v>192</v>
      </c>
      <c r="AQ220" s="92">
        <f>71-30+50</f>
        <v>91</v>
      </c>
      <c r="AR220" s="271">
        <f t="shared" si="11"/>
        <v>37</v>
      </c>
      <c r="AS220" s="89"/>
      <c r="AT220" s="116"/>
    </row>
    <row r="221" spans="1:118" s="44" customFormat="1" ht="33.75" customHeight="1">
      <c r="A221" s="96" t="s">
        <v>649</v>
      </c>
      <c r="B221" s="90" t="s">
        <v>520</v>
      </c>
      <c r="C221" s="91" t="s">
        <v>292</v>
      </c>
      <c r="E221" s="92" t="s">
        <v>6</v>
      </c>
      <c r="F221" s="92">
        <v>2</v>
      </c>
      <c r="G221" s="92"/>
      <c r="H221" s="92"/>
      <c r="AM221" s="92"/>
      <c r="AN221" s="98" t="s">
        <v>374</v>
      </c>
      <c r="AO221" s="92">
        <v>320</v>
      </c>
      <c r="AP221" s="92">
        <f>229+100+100+30</f>
        <v>459</v>
      </c>
      <c r="AQ221" s="92">
        <f>7+63-63+15+100-7+100+15-100-100+30-30</f>
        <v>30</v>
      </c>
      <c r="AR221" s="271">
        <f t="shared" si="11"/>
        <v>-169</v>
      </c>
      <c r="AS221" s="89"/>
      <c r="AT221" s="116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</row>
    <row r="222" spans="1:118" s="44" customFormat="1" ht="36" customHeight="1">
      <c r="A222" s="96" t="s">
        <v>650</v>
      </c>
      <c r="B222" s="90" t="s">
        <v>521</v>
      </c>
      <c r="C222" s="91" t="s">
        <v>292</v>
      </c>
      <c r="E222" s="92">
        <v>1000</v>
      </c>
      <c r="F222" s="92">
        <v>2</v>
      </c>
      <c r="G222" s="92"/>
      <c r="H222" s="92"/>
      <c r="AM222" s="92"/>
      <c r="AN222" s="92" t="s">
        <v>363</v>
      </c>
      <c r="AO222" s="92">
        <v>1400</v>
      </c>
      <c r="AP222" s="92">
        <f>186</f>
        <v>186</v>
      </c>
      <c r="AQ222" s="92">
        <v>75</v>
      </c>
      <c r="AR222" s="271">
        <f t="shared" si="11"/>
        <v>1139</v>
      </c>
      <c r="AS222" s="89"/>
      <c r="AT222" s="116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</row>
    <row r="223" spans="1:118" s="44" customFormat="1" ht="35.25" customHeight="1">
      <c r="A223" s="96" t="s">
        <v>651</v>
      </c>
      <c r="B223" s="90" t="s">
        <v>522</v>
      </c>
      <c r="C223" s="91" t="s">
        <v>292</v>
      </c>
      <c r="E223" s="92">
        <v>630</v>
      </c>
      <c r="F223" s="92">
        <v>2</v>
      </c>
      <c r="G223" s="92"/>
      <c r="H223" s="92"/>
      <c r="AM223" s="92"/>
      <c r="AN223" s="93" t="s">
        <v>375</v>
      </c>
      <c r="AO223" s="92">
        <v>504</v>
      </c>
      <c r="AP223" s="93">
        <f>272+6+15</f>
        <v>293</v>
      </c>
      <c r="AQ223" s="93">
        <f>33.1+15+6-6+15-15</f>
        <v>48.1</v>
      </c>
      <c r="AR223" s="271">
        <f t="shared" si="11"/>
        <v>162.9</v>
      </c>
      <c r="AS223" s="89"/>
      <c r="AT223" s="116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</row>
    <row r="224" spans="1:118" s="44" customFormat="1" ht="35.25" customHeight="1">
      <c r="A224" s="96" t="s">
        <v>669</v>
      </c>
      <c r="B224" s="90" t="s">
        <v>523</v>
      </c>
      <c r="C224" s="91" t="s">
        <v>292</v>
      </c>
      <c r="E224" s="92">
        <v>630</v>
      </c>
      <c r="F224" s="92">
        <v>1</v>
      </c>
      <c r="G224" s="92"/>
      <c r="H224" s="92"/>
      <c r="AM224" s="92"/>
      <c r="AN224" s="92" t="s">
        <v>380</v>
      </c>
      <c r="AO224" s="92">
        <v>504</v>
      </c>
      <c r="AP224" s="92">
        <f>324+90+100+50+50</f>
        <v>614</v>
      </c>
      <c r="AQ224" s="92">
        <f>80+90+30-90+100+40-100+50-50</f>
        <v>150</v>
      </c>
      <c r="AR224" s="271">
        <f t="shared" si="11"/>
        <v>-260</v>
      </c>
      <c r="AS224" s="89"/>
      <c r="AT224" s="116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</row>
    <row r="225" spans="1:118" s="44" customFormat="1" ht="30.75" customHeight="1">
      <c r="A225" s="96" t="s">
        <v>670</v>
      </c>
      <c r="B225" s="90" t="s">
        <v>516</v>
      </c>
      <c r="C225" s="91" t="s">
        <v>292</v>
      </c>
      <c r="E225" s="92">
        <v>630</v>
      </c>
      <c r="F225" s="92">
        <v>1</v>
      </c>
      <c r="G225" s="92"/>
      <c r="H225" s="92"/>
      <c r="AM225" s="92"/>
      <c r="AN225" s="92" t="s">
        <v>381</v>
      </c>
      <c r="AO225" s="92">
        <v>504</v>
      </c>
      <c r="AP225" s="92">
        <f>140+20+50</f>
        <v>210</v>
      </c>
      <c r="AQ225" s="92">
        <f>90+20-20+50-50+15</f>
        <v>105</v>
      </c>
      <c r="AR225" s="271">
        <f t="shared" si="11"/>
        <v>189</v>
      </c>
      <c r="AS225" s="89"/>
      <c r="AT225" s="116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</row>
    <row r="226" spans="1:118" s="44" customFormat="1" ht="37.5" customHeight="1">
      <c r="A226" s="96" t="s">
        <v>671</v>
      </c>
      <c r="B226" s="90" t="s">
        <v>515</v>
      </c>
      <c r="C226" s="91" t="s">
        <v>292</v>
      </c>
      <c r="E226" s="92">
        <v>250</v>
      </c>
      <c r="F226" s="92">
        <v>1</v>
      </c>
      <c r="G226" s="92"/>
      <c r="H226" s="92"/>
      <c r="AM226" s="92"/>
      <c r="AN226" s="99" t="s">
        <v>392</v>
      </c>
      <c r="AO226" s="92">
        <v>200</v>
      </c>
      <c r="AP226" s="92">
        <f>103+60+60</f>
        <v>223</v>
      </c>
      <c r="AQ226" s="92">
        <f>50+60-60+90+60-60</f>
        <v>140</v>
      </c>
      <c r="AR226" s="271">
        <f t="shared" si="11"/>
        <v>-163</v>
      </c>
      <c r="AS226" s="89"/>
      <c r="AT226" s="116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</row>
    <row r="227" spans="1:118" s="44" customFormat="1" ht="36" customHeight="1">
      <c r="A227" s="96" t="s">
        <v>672</v>
      </c>
      <c r="B227" s="90" t="s">
        <v>517</v>
      </c>
      <c r="C227" s="91" t="s">
        <v>292</v>
      </c>
      <c r="E227" s="92">
        <v>160</v>
      </c>
      <c r="F227" s="92">
        <v>1</v>
      </c>
      <c r="G227" s="92"/>
      <c r="H227" s="92"/>
      <c r="AM227" s="92"/>
      <c r="AN227" s="92" t="s">
        <v>364</v>
      </c>
      <c r="AO227" s="92">
        <v>128</v>
      </c>
      <c r="AP227" s="92">
        <f>7+30</f>
        <v>37</v>
      </c>
      <c r="AQ227" s="92">
        <v>15</v>
      </c>
      <c r="AR227" s="271">
        <f>AO227-AP227-AQ227</f>
        <v>76</v>
      </c>
      <c r="AS227" s="89"/>
      <c r="AT227" s="116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</row>
    <row r="228" spans="1:118" s="44" customFormat="1" ht="33.75" customHeight="1">
      <c r="A228" s="96" t="s">
        <v>673</v>
      </c>
      <c r="B228" s="90" t="s">
        <v>524</v>
      </c>
      <c r="C228" s="91" t="s">
        <v>292</v>
      </c>
      <c r="E228" s="92" t="s">
        <v>6</v>
      </c>
      <c r="F228" s="92">
        <v>2</v>
      </c>
      <c r="G228" s="92"/>
      <c r="H228" s="92"/>
      <c r="AM228" s="92"/>
      <c r="AN228" s="92" t="s">
        <v>391</v>
      </c>
      <c r="AO228" s="92">
        <v>320</v>
      </c>
      <c r="AP228" s="92">
        <f>481+1</f>
        <v>482</v>
      </c>
      <c r="AQ228" s="92">
        <f>13.1+445.3</f>
        <v>458.40000000000003</v>
      </c>
      <c r="AR228" s="271">
        <f>AO228-AP228-6-1.1</f>
        <v>-169.1</v>
      </c>
      <c r="AS228" s="89"/>
      <c r="AT228" s="116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</row>
    <row r="229" spans="1:118" s="44" customFormat="1" ht="49.5" customHeight="1">
      <c r="A229" s="96" t="s">
        <v>674</v>
      </c>
      <c r="B229" s="90" t="s">
        <v>525</v>
      </c>
      <c r="C229" s="133" t="s">
        <v>292</v>
      </c>
      <c r="E229" s="97">
        <v>160</v>
      </c>
      <c r="F229" s="97">
        <v>1</v>
      </c>
      <c r="G229" s="97"/>
      <c r="H229" s="97"/>
      <c r="AM229" s="97"/>
      <c r="AN229" s="97" t="s">
        <v>405</v>
      </c>
      <c r="AO229" s="97">
        <v>128</v>
      </c>
      <c r="AP229" s="97">
        <v>4</v>
      </c>
      <c r="AQ229" s="97">
        <v>35</v>
      </c>
      <c r="AR229" s="277">
        <f t="shared" si="11"/>
        <v>89</v>
      </c>
      <c r="AS229" s="132"/>
      <c r="AT229" s="116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</row>
    <row r="230" spans="1:45" s="116" customFormat="1" ht="48.75" customHeight="1">
      <c r="A230" s="96" t="s">
        <v>675</v>
      </c>
      <c r="B230" s="114" t="s">
        <v>511</v>
      </c>
      <c r="C230" s="209" t="s">
        <v>292</v>
      </c>
      <c r="E230" s="115">
        <v>1260</v>
      </c>
      <c r="F230" s="115">
        <v>2</v>
      </c>
      <c r="G230" s="115"/>
      <c r="H230" s="115"/>
      <c r="AM230" s="115"/>
      <c r="AN230" s="115" t="s">
        <v>382</v>
      </c>
      <c r="AO230" s="97">
        <f>E230*0.7</f>
        <v>882</v>
      </c>
      <c r="AP230" s="115">
        <v>592</v>
      </c>
      <c r="AQ230" s="115">
        <v>0</v>
      </c>
      <c r="AR230" s="274">
        <f aca="true" t="shared" si="12" ref="AR230:AR235">AO230-AP230-AQ230</f>
        <v>290</v>
      </c>
      <c r="AS230" s="118" t="s">
        <v>439</v>
      </c>
    </row>
    <row r="231" spans="1:46" s="112" customFormat="1" ht="47.25" customHeight="1">
      <c r="A231" s="96" t="s">
        <v>676</v>
      </c>
      <c r="B231" s="211" t="s">
        <v>512</v>
      </c>
      <c r="C231" s="123" t="s">
        <v>292</v>
      </c>
      <c r="E231" s="111">
        <v>160</v>
      </c>
      <c r="F231" s="111">
        <v>1</v>
      </c>
      <c r="G231" s="111"/>
      <c r="H231" s="111"/>
      <c r="AM231" s="111"/>
      <c r="AN231" s="111" t="s">
        <v>383</v>
      </c>
      <c r="AO231" s="111">
        <v>128</v>
      </c>
      <c r="AP231" s="111">
        <v>0</v>
      </c>
      <c r="AQ231" s="111">
        <v>0</v>
      </c>
      <c r="AR231" s="254">
        <v>0</v>
      </c>
      <c r="AS231" s="212" t="s">
        <v>647</v>
      </c>
      <c r="AT231" s="116"/>
    </row>
    <row r="232" spans="1:46" s="112" customFormat="1" ht="43.5" customHeight="1">
      <c r="A232" s="96" t="s">
        <v>677</v>
      </c>
      <c r="B232" s="211" t="s">
        <v>513</v>
      </c>
      <c r="C232" s="123" t="s">
        <v>292</v>
      </c>
      <c r="E232" s="111">
        <v>160</v>
      </c>
      <c r="F232" s="111">
        <v>1</v>
      </c>
      <c r="G232" s="111"/>
      <c r="H232" s="111"/>
      <c r="AM232" s="111"/>
      <c r="AN232" s="111" t="s">
        <v>383</v>
      </c>
      <c r="AO232" s="111">
        <v>128</v>
      </c>
      <c r="AP232" s="111">
        <v>0</v>
      </c>
      <c r="AQ232" s="111">
        <v>0</v>
      </c>
      <c r="AR232" s="254">
        <v>0</v>
      </c>
      <c r="AS232" s="212" t="s">
        <v>647</v>
      </c>
      <c r="AT232" s="116"/>
    </row>
    <row r="233" spans="1:46" s="88" customFormat="1" ht="45.75" customHeight="1">
      <c r="A233" s="96" t="s">
        <v>678</v>
      </c>
      <c r="B233" s="90" t="s">
        <v>514</v>
      </c>
      <c r="C233" s="91" t="s">
        <v>388</v>
      </c>
      <c r="D233" s="44"/>
      <c r="E233" s="92">
        <v>1000</v>
      </c>
      <c r="F233" s="92" t="s">
        <v>387</v>
      </c>
      <c r="G233" s="92"/>
      <c r="H233" s="92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92"/>
      <c r="AN233" s="99" t="s">
        <v>384</v>
      </c>
      <c r="AO233" s="92">
        <v>800</v>
      </c>
      <c r="AP233" s="92">
        <f>216+60+8+3</f>
        <v>287</v>
      </c>
      <c r="AQ233" s="92">
        <f>15+25-3+30</f>
        <v>67</v>
      </c>
      <c r="AR233" s="271">
        <f t="shared" si="12"/>
        <v>446</v>
      </c>
      <c r="AS233" s="89"/>
      <c r="AT233" s="116"/>
    </row>
    <row r="234" spans="1:118" s="44" customFormat="1" ht="34.5" customHeight="1">
      <c r="A234" s="96" t="s">
        <v>679</v>
      </c>
      <c r="B234" s="90" t="s">
        <v>526</v>
      </c>
      <c r="C234" s="91" t="s">
        <v>386</v>
      </c>
      <c r="E234" s="92">
        <v>400</v>
      </c>
      <c r="F234" s="92">
        <v>1</v>
      </c>
      <c r="G234" s="92"/>
      <c r="H234" s="92"/>
      <c r="AM234" s="92"/>
      <c r="AN234" s="99" t="s">
        <v>385</v>
      </c>
      <c r="AO234" s="92">
        <v>320</v>
      </c>
      <c r="AP234" s="92">
        <f>154+30+15+15+15+80+30+55</f>
        <v>394</v>
      </c>
      <c r="AQ234" s="92">
        <f>15+80+15+15-15+20+15-15-15-80+0.52+30-30-55</f>
        <v>-19.47999999999999</v>
      </c>
      <c r="AR234" s="271">
        <f t="shared" si="12"/>
        <v>-54.52000000000001</v>
      </c>
      <c r="AS234" s="89"/>
      <c r="AT234" s="116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</row>
    <row r="235" spans="1:118" s="44" customFormat="1" ht="33.75" customHeight="1">
      <c r="A235" s="96" t="s">
        <v>680</v>
      </c>
      <c r="B235" s="90" t="s">
        <v>527</v>
      </c>
      <c r="C235" s="91" t="s">
        <v>394</v>
      </c>
      <c r="E235" s="92">
        <v>400</v>
      </c>
      <c r="F235" s="92">
        <v>1</v>
      </c>
      <c r="G235" s="92"/>
      <c r="H235" s="92"/>
      <c r="AM235" s="92"/>
      <c r="AN235" s="99" t="s">
        <v>393</v>
      </c>
      <c r="AO235" s="92">
        <v>320</v>
      </c>
      <c r="AP235" s="92">
        <v>56</v>
      </c>
      <c r="AQ235" s="92">
        <v>0</v>
      </c>
      <c r="AR235" s="271">
        <f t="shared" si="12"/>
        <v>264</v>
      </c>
      <c r="AS235" s="89"/>
      <c r="AT235" s="116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</row>
    <row r="236" spans="1:118" s="44" customFormat="1" ht="39" customHeight="1">
      <c r="A236" s="96" t="s">
        <v>681</v>
      </c>
      <c r="B236" s="90" t="s">
        <v>528</v>
      </c>
      <c r="C236" s="91" t="s">
        <v>292</v>
      </c>
      <c r="E236" s="92">
        <v>630</v>
      </c>
      <c r="F236" s="92">
        <v>2</v>
      </c>
      <c r="G236" s="92"/>
      <c r="H236" s="92"/>
      <c r="AM236" s="92"/>
      <c r="AN236" s="92" t="s">
        <v>365</v>
      </c>
      <c r="AO236" s="92">
        <v>504</v>
      </c>
      <c r="AP236" s="92">
        <f>62+50+60+150+250</f>
        <v>572</v>
      </c>
      <c r="AQ236" s="92">
        <f>60+50-60+200+150-150+240.8+250-250</f>
        <v>490.79999999999995</v>
      </c>
      <c r="AR236" s="271">
        <f aca="true" t="shared" si="13" ref="AR236:AR250">AO236-AP236-AQ236</f>
        <v>-558.8</v>
      </c>
      <c r="AS236" s="89"/>
      <c r="AT236" s="116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</row>
    <row r="237" spans="1:118" s="44" customFormat="1" ht="42" customHeight="1">
      <c r="A237" s="96" t="s">
        <v>682</v>
      </c>
      <c r="B237" s="90" t="s">
        <v>529</v>
      </c>
      <c r="C237" s="91" t="s">
        <v>292</v>
      </c>
      <c r="E237" s="92" t="s">
        <v>6</v>
      </c>
      <c r="F237" s="92">
        <v>2</v>
      </c>
      <c r="G237" s="92"/>
      <c r="H237" s="92"/>
      <c r="AM237" s="92"/>
      <c r="AN237" s="92" t="s">
        <v>389</v>
      </c>
      <c r="AO237" s="92">
        <v>320</v>
      </c>
      <c r="AP237" s="94">
        <f>261+15</f>
        <v>276</v>
      </c>
      <c r="AQ237" s="92">
        <f>15+45+20+15+15-15+15+15+15+15+15+0.5</f>
        <v>170.5</v>
      </c>
      <c r="AR237" s="271">
        <f t="shared" si="13"/>
        <v>-126.5</v>
      </c>
      <c r="AS237" s="89"/>
      <c r="AT237" s="116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</row>
    <row r="238" spans="1:118" s="44" customFormat="1" ht="45.75" customHeight="1">
      <c r="A238" s="96" t="s">
        <v>683</v>
      </c>
      <c r="B238" s="90" t="s">
        <v>530</v>
      </c>
      <c r="C238" s="91" t="s">
        <v>292</v>
      </c>
      <c r="E238" s="92">
        <v>630</v>
      </c>
      <c r="F238" s="92">
        <v>1</v>
      </c>
      <c r="G238" s="92"/>
      <c r="H238" s="92"/>
      <c r="AM238" s="92"/>
      <c r="AN238" s="92" t="s">
        <v>397</v>
      </c>
      <c r="AO238" s="92">
        <v>504</v>
      </c>
      <c r="AP238" s="92">
        <f>407+25</f>
        <v>432</v>
      </c>
      <c r="AQ238" s="92">
        <f>25-25+60</f>
        <v>60</v>
      </c>
      <c r="AR238" s="271">
        <f>AO238-AP238-AQ238</f>
        <v>12</v>
      </c>
      <c r="AS238" s="89"/>
      <c r="AT238" s="116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</row>
    <row r="239" spans="1:118" s="44" customFormat="1" ht="32.25" customHeight="1">
      <c r="A239" s="96" t="s">
        <v>684</v>
      </c>
      <c r="B239" s="90" t="s">
        <v>518</v>
      </c>
      <c r="C239" s="91" t="s">
        <v>292</v>
      </c>
      <c r="E239" s="92">
        <v>1260</v>
      </c>
      <c r="F239" s="92">
        <v>2</v>
      </c>
      <c r="G239" s="92"/>
      <c r="H239" s="92"/>
      <c r="AM239" s="92"/>
      <c r="AN239" s="92" t="s">
        <v>400</v>
      </c>
      <c r="AO239" s="92">
        <v>1008</v>
      </c>
      <c r="AP239" s="92">
        <f>521+55+25+10-25+30</f>
        <v>616</v>
      </c>
      <c r="AQ239" s="92">
        <f>275+55-55+30+10-10+100+17-150+30-30</f>
        <v>272</v>
      </c>
      <c r="AR239" s="271">
        <f>AO239-AP239-AQ239</f>
        <v>120</v>
      </c>
      <c r="AS239" s="89"/>
      <c r="AT239" s="116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</row>
    <row r="240" spans="1:46" s="112" customFormat="1" ht="46.5" customHeight="1">
      <c r="A240" s="210" t="s">
        <v>685</v>
      </c>
      <c r="B240" s="211" t="s">
        <v>646</v>
      </c>
      <c r="C240" s="123" t="s">
        <v>292</v>
      </c>
      <c r="E240" s="111">
        <v>1000</v>
      </c>
      <c r="F240" s="111">
        <v>2</v>
      </c>
      <c r="G240" s="111"/>
      <c r="H240" s="111"/>
      <c r="AM240" s="111"/>
      <c r="AN240" s="111" t="s">
        <v>440</v>
      </c>
      <c r="AO240" s="111">
        <v>900</v>
      </c>
      <c r="AP240" s="111">
        <f>0+161+396.5+250</f>
        <v>807.5</v>
      </c>
      <c r="AQ240" s="111">
        <f>200+250-250</f>
        <v>200</v>
      </c>
      <c r="AR240" s="254">
        <f>AO240-AP240-AQ240</f>
        <v>-107.5</v>
      </c>
      <c r="AS240" s="120"/>
      <c r="AT240" s="116"/>
    </row>
    <row r="241" spans="1:46" s="88" customFormat="1" ht="49.5" customHeight="1">
      <c r="A241" s="401" t="s">
        <v>686</v>
      </c>
      <c r="B241" s="403" t="s">
        <v>505</v>
      </c>
      <c r="C241" s="396" t="s">
        <v>292</v>
      </c>
      <c r="D241" s="106"/>
      <c r="E241" s="397"/>
      <c r="F241" s="397"/>
      <c r="G241" s="107"/>
      <c r="H241" s="107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397"/>
      <c r="AN241" s="397"/>
      <c r="AO241" s="107" t="s">
        <v>533</v>
      </c>
      <c r="AP241" s="121"/>
      <c r="AQ241" s="108"/>
      <c r="AR241" s="275"/>
      <c r="AS241" s="109"/>
      <c r="AT241" s="116"/>
    </row>
    <row r="242" spans="1:46" s="106" customFormat="1" ht="19.5" customHeight="1">
      <c r="A242" s="402"/>
      <c r="B242" s="404"/>
      <c r="C242" s="396"/>
      <c r="E242" s="398"/>
      <c r="F242" s="398"/>
      <c r="G242" s="107"/>
      <c r="H242" s="107"/>
      <c r="AM242" s="398"/>
      <c r="AN242" s="400"/>
      <c r="AO242" s="108">
        <v>750</v>
      </c>
      <c r="AP242" s="122">
        <v>713</v>
      </c>
      <c r="AQ242" s="107">
        <f>SUM(AQ243:AQ246)</f>
        <v>320</v>
      </c>
      <c r="AR242" s="281">
        <f>AO242-AP242-AQ242</f>
        <v>-283</v>
      </c>
      <c r="AS242" s="109"/>
      <c r="AT242" s="116"/>
    </row>
    <row r="243" spans="1:46" s="106" customFormat="1" ht="30" customHeight="1">
      <c r="A243" s="96" t="s">
        <v>687</v>
      </c>
      <c r="B243" s="90" t="s">
        <v>509</v>
      </c>
      <c r="C243" s="91" t="s">
        <v>388</v>
      </c>
      <c r="D243" s="44"/>
      <c r="E243" s="92">
        <v>400</v>
      </c>
      <c r="F243" s="92">
        <v>1</v>
      </c>
      <c r="G243" s="92"/>
      <c r="H243" s="92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92"/>
      <c r="AN243" s="92" t="s">
        <v>395</v>
      </c>
      <c r="AO243" s="92">
        <v>320</v>
      </c>
      <c r="AP243" s="92">
        <v>126</v>
      </c>
      <c r="AQ243" s="92">
        <f>0+60+15+25</f>
        <v>100</v>
      </c>
      <c r="AR243" s="271">
        <f t="shared" si="13"/>
        <v>94</v>
      </c>
      <c r="AS243" s="89"/>
      <c r="AT243" s="116"/>
    </row>
    <row r="244" spans="1:118" s="44" customFormat="1" ht="38.25" customHeight="1">
      <c r="A244" s="96" t="s">
        <v>688</v>
      </c>
      <c r="B244" s="90" t="s">
        <v>508</v>
      </c>
      <c r="C244" s="91" t="s">
        <v>396</v>
      </c>
      <c r="E244" s="92">
        <v>400</v>
      </c>
      <c r="F244" s="92">
        <v>1</v>
      </c>
      <c r="G244" s="92"/>
      <c r="H244" s="92"/>
      <c r="AM244" s="92"/>
      <c r="AN244" s="92" t="s">
        <v>390</v>
      </c>
      <c r="AO244" s="92">
        <v>320</v>
      </c>
      <c r="AP244" s="92">
        <v>231</v>
      </c>
      <c r="AQ244" s="92">
        <v>40</v>
      </c>
      <c r="AR244" s="271">
        <f t="shared" si="13"/>
        <v>49</v>
      </c>
      <c r="AS244" s="89"/>
      <c r="AT244" s="116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</row>
    <row r="245" spans="1:118" s="44" customFormat="1" ht="34.5" customHeight="1">
      <c r="A245" s="96" t="s">
        <v>689</v>
      </c>
      <c r="B245" s="90" t="s">
        <v>506</v>
      </c>
      <c r="C245" s="91" t="s">
        <v>404</v>
      </c>
      <c r="E245" s="92">
        <v>400</v>
      </c>
      <c r="F245" s="92">
        <v>1</v>
      </c>
      <c r="G245" s="92"/>
      <c r="H245" s="92"/>
      <c r="AM245" s="92"/>
      <c r="AN245" s="99" t="s">
        <v>403</v>
      </c>
      <c r="AO245" s="92">
        <v>320</v>
      </c>
      <c r="AP245" s="92">
        <f>370+6+30</f>
        <v>406</v>
      </c>
      <c r="AQ245" s="92">
        <f>20+95</f>
        <v>115</v>
      </c>
      <c r="AR245" s="271">
        <f t="shared" si="13"/>
        <v>-201</v>
      </c>
      <c r="AS245" s="89"/>
      <c r="AT245" s="116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</row>
    <row r="246" spans="1:118" s="44" customFormat="1" ht="40.5" customHeight="1">
      <c r="A246" s="96" t="s">
        <v>690</v>
      </c>
      <c r="B246" s="90" t="s">
        <v>507</v>
      </c>
      <c r="C246" s="91" t="s">
        <v>402</v>
      </c>
      <c r="E246" s="92">
        <v>400</v>
      </c>
      <c r="F246" s="92">
        <v>1</v>
      </c>
      <c r="G246" s="92"/>
      <c r="H246" s="92"/>
      <c r="AM246" s="92"/>
      <c r="AN246" s="99" t="s">
        <v>401</v>
      </c>
      <c r="AO246" s="92">
        <v>320</v>
      </c>
      <c r="AP246" s="92">
        <f>145+25+50</f>
        <v>220</v>
      </c>
      <c r="AQ246" s="92">
        <f>35-25+50-50+25+30</f>
        <v>65</v>
      </c>
      <c r="AR246" s="271">
        <f t="shared" si="13"/>
        <v>35</v>
      </c>
      <c r="AS246" s="89"/>
      <c r="AT246" s="116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</row>
    <row r="247" spans="1:118" s="44" customFormat="1" ht="33.75" customHeight="1">
      <c r="A247" s="405">
        <v>16</v>
      </c>
      <c r="B247" s="403" t="s">
        <v>510</v>
      </c>
      <c r="C247" s="396"/>
      <c r="D247" s="106"/>
      <c r="E247" s="397"/>
      <c r="F247" s="397"/>
      <c r="G247" s="107"/>
      <c r="H247" s="107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397"/>
      <c r="AN247" s="397"/>
      <c r="AO247" s="107" t="s">
        <v>533</v>
      </c>
      <c r="AP247" s="121"/>
      <c r="AQ247" s="108"/>
      <c r="AR247" s="275"/>
      <c r="AS247" s="109"/>
      <c r="AT247" s="116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</row>
    <row r="248" spans="1:46" s="106" customFormat="1" ht="18.75" customHeight="1">
      <c r="A248" s="406"/>
      <c r="B248" s="404"/>
      <c r="C248" s="396"/>
      <c r="E248" s="398"/>
      <c r="F248" s="398"/>
      <c r="G248" s="107"/>
      <c r="H248" s="107"/>
      <c r="AM248" s="398"/>
      <c r="AN248" s="400"/>
      <c r="AO248" s="108">
        <v>650</v>
      </c>
      <c r="AP248" s="122">
        <v>106</v>
      </c>
      <c r="AQ248" s="108">
        <f>SUM(AQ249:AQ269)</f>
        <v>0</v>
      </c>
      <c r="AR248" s="275">
        <f>AO248-AP248-AQ248</f>
        <v>544</v>
      </c>
      <c r="AS248" s="109"/>
      <c r="AT248" s="116"/>
    </row>
    <row r="249" spans="1:46" s="106" customFormat="1" ht="30" customHeight="1">
      <c r="A249" s="96" t="s">
        <v>691</v>
      </c>
      <c r="B249" s="90" t="s">
        <v>532</v>
      </c>
      <c r="C249" s="91" t="s">
        <v>348</v>
      </c>
      <c r="D249" s="44"/>
      <c r="E249" s="92">
        <v>400</v>
      </c>
      <c r="F249" s="92">
        <v>1</v>
      </c>
      <c r="G249" s="92"/>
      <c r="H249" s="92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92"/>
      <c r="AN249" s="92" t="s">
        <v>399</v>
      </c>
      <c r="AO249" s="92">
        <v>320</v>
      </c>
      <c r="AP249" s="92">
        <v>71</v>
      </c>
      <c r="AQ249" s="92">
        <v>0</v>
      </c>
      <c r="AR249" s="271">
        <f t="shared" si="13"/>
        <v>249</v>
      </c>
      <c r="AS249" s="89"/>
      <c r="AT249" s="116"/>
    </row>
    <row r="250" spans="1:118" s="44" customFormat="1" ht="39.75" customHeight="1">
      <c r="A250" s="96" t="s">
        <v>692</v>
      </c>
      <c r="B250" s="90" t="s">
        <v>531</v>
      </c>
      <c r="C250" s="91" t="s">
        <v>348</v>
      </c>
      <c r="E250" s="92">
        <v>250</v>
      </c>
      <c r="F250" s="92">
        <v>1</v>
      </c>
      <c r="G250" s="92"/>
      <c r="H250" s="92"/>
      <c r="AM250" s="92"/>
      <c r="AN250" s="92" t="s">
        <v>398</v>
      </c>
      <c r="AO250" s="92">
        <v>200</v>
      </c>
      <c r="AP250" s="92">
        <v>66</v>
      </c>
      <c r="AQ250" s="92">
        <v>0</v>
      </c>
      <c r="AR250" s="271">
        <f t="shared" si="13"/>
        <v>134</v>
      </c>
      <c r="AS250" s="89"/>
      <c r="AT250" s="116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</row>
    <row r="251" spans="1:46" s="57" customFormat="1" ht="34.5" customHeight="1">
      <c r="A251" s="1"/>
      <c r="B251" s="2"/>
      <c r="C251" s="2"/>
      <c r="D251" s="2"/>
      <c r="E251" s="2"/>
      <c r="F251" s="2"/>
      <c r="G251" s="4"/>
      <c r="H251" s="2"/>
      <c r="I251" s="4"/>
      <c r="J251" s="4"/>
      <c r="K251" s="2"/>
      <c r="L251" s="2"/>
      <c r="M251" s="4"/>
      <c r="N251" s="2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65"/>
      <c r="AS251" s="3"/>
      <c r="AT251" s="116"/>
    </row>
    <row r="252" ht="18.75">
      <c r="AS252" s="3"/>
    </row>
    <row r="253" ht="18.75">
      <c r="AS253" s="3"/>
    </row>
    <row r="254" spans="43:45" ht="18.75">
      <c r="AQ254" s="2" t="s">
        <v>356</v>
      </c>
      <c r="AS254" s="3"/>
    </row>
    <row r="255" ht="18.75">
      <c r="AS255" s="3"/>
    </row>
    <row r="256" ht="18.75">
      <c r="AS256" s="3"/>
    </row>
    <row r="257" ht="18.75">
      <c r="AS257" s="3"/>
    </row>
    <row r="258" ht="18.75">
      <c r="AS258" s="3"/>
    </row>
    <row r="259" ht="18.75">
      <c r="AS259" s="3"/>
    </row>
    <row r="260" ht="18.75">
      <c r="AS260" s="3"/>
    </row>
    <row r="261" ht="18.75">
      <c r="AS261" s="3"/>
    </row>
    <row r="262" ht="18.75">
      <c r="AS262" s="3"/>
    </row>
    <row r="263" ht="18.75">
      <c r="AS263" s="3"/>
    </row>
    <row r="264" ht="18.75">
      <c r="AS264" s="3"/>
    </row>
    <row r="265" ht="18.75">
      <c r="AS265" s="3"/>
    </row>
    <row r="266" ht="18.75">
      <c r="AS266" s="3"/>
    </row>
    <row r="267" ht="18.75">
      <c r="AS267" s="3"/>
    </row>
    <row r="268" ht="18.75">
      <c r="AS268" s="3"/>
    </row>
    <row r="269" ht="18.75">
      <c r="AS269" s="3"/>
    </row>
    <row r="270" ht="18.75">
      <c r="AS270" s="3"/>
    </row>
    <row r="271" ht="18.75">
      <c r="AS271" s="3"/>
    </row>
    <row r="272" ht="18.75">
      <c r="AS272" s="3"/>
    </row>
    <row r="273" ht="18.75">
      <c r="AS273" s="3"/>
    </row>
    <row r="274" ht="18.75">
      <c r="AS274" s="3"/>
    </row>
    <row r="275" ht="18.75">
      <c r="AS275" s="3"/>
    </row>
    <row r="276" ht="18.75">
      <c r="AS276" s="3"/>
    </row>
    <row r="277" ht="18.75">
      <c r="AS277" s="3"/>
    </row>
    <row r="278" ht="18.75">
      <c r="AS278" s="3"/>
    </row>
    <row r="279" ht="18.75">
      <c r="AS279" s="3"/>
    </row>
    <row r="280" ht="18.75">
      <c r="AS280" s="3"/>
    </row>
    <row r="281" ht="18.75">
      <c r="AS281" s="3"/>
    </row>
    <row r="282" ht="18.75">
      <c r="AS282" s="3"/>
    </row>
    <row r="283" ht="18.75">
      <c r="AS283" s="3"/>
    </row>
    <row r="284" ht="18.75">
      <c r="AS284" s="3"/>
    </row>
    <row r="285" ht="18.75">
      <c r="AS285" s="3"/>
    </row>
    <row r="286" ht="18.75">
      <c r="AS286" s="3"/>
    </row>
    <row r="287" ht="18.75">
      <c r="AS287" s="3"/>
    </row>
    <row r="288" ht="18.75">
      <c r="AS288" s="3"/>
    </row>
    <row r="289" ht="18.75">
      <c r="AS289" s="3"/>
    </row>
    <row r="290" ht="18.75">
      <c r="AS290" s="3"/>
    </row>
    <row r="291" ht="18.75">
      <c r="AS291" s="3"/>
    </row>
    <row r="292" ht="18.75">
      <c r="AS292" s="3"/>
    </row>
    <row r="293" ht="18.75">
      <c r="AS293" s="3"/>
    </row>
    <row r="294" ht="18.75">
      <c r="AS294" s="3"/>
    </row>
    <row r="295" ht="18.75">
      <c r="AS295" s="3"/>
    </row>
    <row r="296" ht="18.75">
      <c r="AS296" s="3"/>
    </row>
    <row r="297" ht="18.75">
      <c r="AS297" s="3"/>
    </row>
    <row r="298" ht="18.75">
      <c r="AS298" s="3"/>
    </row>
    <row r="299" ht="18.75">
      <c r="AS299" s="3"/>
    </row>
    <row r="300" ht="18.75">
      <c r="AS300" s="3"/>
    </row>
    <row r="301" ht="18.75">
      <c r="AS301" s="3"/>
    </row>
    <row r="302" ht="18.75">
      <c r="AS302" s="3"/>
    </row>
    <row r="303" ht="18.75">
      <c r="AS303" s="3"/>
    </row>
    <row r="304" ht="18.75">
      <c r="AS304" s="3"/>
    </row>
    <row r="305" ht="18.75">
      <c r="AS305" s="3"/>
    </row>
    <row r="306" ht="18.75">
      <c r="AS306" s="3"/>
    </row>
    <row r="307" ht="18.75">
      <c r="AS307" s="3"/>
    </row>
    <row r="308" ht="18.75">
      <c r="AS308" s="3"/>
    </row>
    <row r="309" ht="18.75">
      <c r="AS309" s="3"/>
    </row>
    <row r="310" ht="18.75">
      <c r="AS310" s="3"/>
    </row>
    <row r="311" ht="18.75">
      <c r="AS311" s="3"/>
    </row>
    <row r="312" ht="18.75">
      <c r="AS312" s="3"/>
    </row>
    <row r="313" ht="18.75">
      <c r="AS313" s="3"/>
    </row>
    <row r="314" ht="18.75">
      <c r="AS314" s="3"/>
    </row>
    <row r="315" ht="18.75">
      <c r="AS315" s="3"/>
    </row>
    <row r="316" ht="18.75">
      <c r="AS316" s="3"/>
    </row>
    <row r="317" ht="18.75">
      <c r="AS317" s="3"/>
    </row>
    <row r="318" ht="18.75">
      <c r="AS318" s="3"/>
    </row>
    <row r="319" ht="18.75">
      <c r="AS319" s="3"/>
    </row>
    <row r="320" ht="18.75">
      <c r="AS320" s="3"/>
    </row>
    <row r="321" ht="18.75">
      <c r="AS321" s="3"/>
    </row>
    <row r="322" ht="18.75">
      <c r="AS322" s="3"/>
    </row>
    <row r="323" ht="18.75">
      <c r="AS323" s="3"/>
    </row>
    <row r="324" ht="18.75">
      <c r="AS324" s="3"/>
    </row>
    <row r="325" ht="18.75">
      <c r="AS325" s="3"/>
    </row>
    <row r="326" ht="18.75">
      <c r="AS326" s="3"/>
    </row>
    <row r="327" ht="18.75">
      <c r="AS327" s="3"/>
    </row>
    <row r="328" ht="18.75">
      <c r="AS328" s="3"/>
    </row>
    <row r="329" ht="18.75">
      <c r="AS329" s="3"/>
    </row>
    <row r="330" ht="18.75">
      <c r="AS330" s="3"/>
    </row>
    <row r="331" ht="18.75">
      <c r="AS331" s="3"/>
    </row>
    <row r="332" ht="18.75">
      <c r="AS332" s="3"/>
    </row>
    <row r="333" ht="18.75">
      <c r="AS333" s="3"/>
    </row>
    <row r="334" ht="18.75">
      <c r="AS334" s="3"/>
    </row>
    <row r="335" ht="18.75">
      <c r="AS335" s="3"/>
    </row>
    <row r="336" ht="18.75">
      <c r="AS336" s="3"/>
    </row>
    <row r="337" ht="18.75">
      <c r="AS337" s="3"/>
    </row>
    <row r="338" ht="18.75">
      <c r="AS338" s="3"/>
    </row>
    <row r="339" ht="18.75">
      <c r="AS339" s="3"/>
    </row>
    <row r="340" ht="18.75">
      <c r="AS340" s="3"/>
    </row>
    <row r="341" ht="18.75">
      <c r="AS341" s="3"/>
    </row>
    <row r="342" ht="18.75">
      <c r="AS342" s="3"/>
    </row>
    <row r="343" ht="18.75">
      <c r="AS343" s="3"/>
    </row>
    <row r="344" ht="18.75">
      <c r="AS344" s="3"/>
    </row>
    <row r="345" ht="18.75">
      <c r="AS345" s="3"/>
    </row>
    <row r="346" ht="18.75">
      <c r="AS346" s="3"/>
    </row>
    <row r="347" ht="18.75">
      <c r="AS347" s="3"/>
    </row>
    <row r="348" ht="18.75">
      <c r="AS348" s="3"/>
    </row>
    <row r="349" ht="18.75">
      <c r="AS349" s="3"/>
    </row>
    <row r="350" ht="18.75">
      <c r="AS350" s="3"/>
    </row>
    <row r="351" ht="18.75">
      <c r="AS351" s="3"/>
    </row>
    <row r="352" ht="18.75">
      <c r="AS352" s="3"/>
    </row>
    <row r="353" ht="18.75">
      <c r="AS353" s="3"/>
    </row>
    <row r="354" ht="18.75">
      <c r="AS354" s="3"/>
    </row>
    <row r="355" ht="18.75">
      <c r="AS355" s="3"/>
    </row>
    <row r="356" ht="18.75">
      <c r="AS356" s="3"/>
    </row>
    <row r="357" ht="18.75">
      <c r="AS357" s="3"/>
    </row>
    <row r="358" ht="18.75">
      <c r="AS358" s="3"/>
    </row>
    <row r="359" ht="18.75">
      <c r="AS359" s="3"/>
    </row>
    <row r="360" ht="18.75">
      <c r="AS360" s="3"/>
    </row>
    <row r="361" ht="18.75">
      <c r="AS361" s="3"/>
    </row>
    <row r="362" ht="18.75">
      <c r="AS362" s="3"/>
    </row>
    <row r="363" ht="18.75">
      <c r="AS363" s="3"/>
    </row>
    <row r="364" ht="18.75">
      <c r="AS364" s="3"/>
    </row>
    <row r="365" ht="18.75">
      <c r="AS365" s="3"/>
    </row>
    <row r="366" ht="18.75">
      <c r="AS366" s="3"/>
    </row>
    <row r="367" ht="18.75">
      <c r="AS367" s="3"/>
    </row>
    <row r="368" ht="18.75">
      <c r="AS368" s="3"/>
    </row>
    <row r="369" ht="18.75">
      <c r="AS369" s="3"/>
    </row>
    <row r="370" ht="18.75">
      <c r="AS370" s="3"/>
    </row>
    <row r="371" ht="18.75">
      <c r="AS371" s="3"/>
    </row>
    <row r="372" ht="18.75">
      <c r="AS372" s="3"/>
    </row>
    <row r="373" ht="18.75">
      <c r="AS373" s="3"/>
    </row>
    <row r="374" ht="18.75">
      <c r="AS374" s="3"/>
    </row>
    <row r="375" ht="18.75">
      <c r="AS375" s="3"/>
    </row>
    <row r="376" ht="18.75">
      <c r="AS376" s="3"/>
    </row>
    <row r="377" ht="18.75">
      <c r="AS377" s="3"/>
    </row>
    <row r="378" ht="18.75">
      <c r="AS378" s="3"/>
    </row>
    <row r="379" ht="18.75">
      <c r="AS379" s="3"/>
    </row>
    <row r="380" ht="18.75">
      <c r="AS380" s="3"/>
    </row>
    <row r="381" ht="18.75">
      <c r="AS381" s="3"/>
    </row>
    <row r="382" ht="18.75">
      <c r="AS382" s="3"/>
    </row>
    <row r="383" ht="18.75">
      <c r="AS383" s="3"/>
    </row>
    <row r="384" ht="18.75">
      <c r="AS384" s="3"/>
    </row>
    <row r="385" ht="18.75">
      <c r="AS385" s="3"/>
    </row>
    <row r="386" ht="18.75">
      <c r="AS386" s="3"/>
    </row>
    <row r="387" ht="18.75">
      <c r="AS387" s="3"/>
    </row>
    <row r="388" ht="18.75">
      <c r="AS388" s="3"/>
    </row>
    <row r="389" ht="18.75">
      <c r="AS389" s="3"/>
    </row>
    <row r="390" ht="18.75">
      <c r="AS390" s="3"/>
    </row>
    <row r="391" ht="18.75">
      <c r="AS391" s="3"/>
    </row>
    <row r="392" ht="18.75">
      <c r="AS392" s="3"/>
    </row>
    <row r="393" ht="18.75">
      <c r="AS393" s="3"/>
    </row>
    <row r="394" ht="18.75">
      <c r="AS394" s="3"/>
    </row>
    <row r="395" ht="18.75">
      <c r="AS395" s="3"/>
    </row>
    <row r="396" ht="18.75">
      <c r="AS396" s="3"/>
    </row>
    <row r="397" ht="18.75">
      <c r="AS397" s="3"/>
    </row>
    <row r="398" ht="18.75">
      <c r="AS398" s="3"/>
    </row>
    <row r="399" ht="18.75">
      <c r="AS399" s="3"/>
    </row>
    <row r="400" ht="18.75">
      <c r="AS400" s="3"/>
    </row>
    <row r="401" ht="18.75">
      <c r="AS401" s="3"/>
    </row>
    <row r="402" ht="18.75">
      <c r="AS402" s="3"/>
    </row>
    <row r="403" ht="18.75">
      <c r="AS403" s="3"/>
    </row>
    <row r="404" ht="18.75">
      <c r="AS404" s="3"/>
    </row>
    <row r="405" ht="18.75">
      <c r="AS405" s="3"/>
    </row>
    <row r="406" ht="18.75">
      <c r="AS406" s="3"/>
    </row>
    <row r="407" ht="18.75">
      <c r="AS407" s="3"/>
    </row>
    <row r="408" ht="18.75">
      <c r="AS408" s="3"/>
    </row>
    <row r="409" ht="18.75">
      <c r="AS409" s="3"/>
    </row>
    <row r="410" ht="18.75">
      <c r="AS410" s="3"/>
    </row>
    <row r="411" ht="18.75">
      <c r="AS411" s="3"/>
    </row>
    <row r="412" ht="18.75">
      <c r="AS412" s="3"/>
    </row>
    <row r="413" ht="18.75">
      <c r="AS413" s="3"/>
    </row>
    <row r="414" ht="18.75">
      <c r="AS414" s="3"/>
    </row>
    <row r="415" ht="18.75">
      <c r="AS415" s="3"/>
    </row>
    <row r="416" ht="18.75">
      <c r="AS416" s="3"/>
    </row>
    <row r="417" ht="18.75">
      <c r="AS417" s="3"/>
    </row>
    <row r="418" ht="18.75">
      <c r="AS418" s="3"/>
    </row>
    <row r="419" ht="18.75">
      <c r="AS419" s="3"/>
    </row>
    <row r="420" ht="18.75">
      <c r="AS420" s="3"/>
    </row>
    <row r="421" ht="18.75">
      <c r="AS421" s="3"/>
    </row>
    <row r="422" ht="18.75">
      <c r="AS422" s="3"/>
    </row>
    <row r="423" ht="18.75">
      <c r="AS423" s="3"/>
    </row>
    <row r="424" ht="18.75">
      <c r="AS424" s="3"/>
    </row>
    <row r="425" ht="18.75">
      <c r="AS425" s="3"/>
    </row>
    <row r="426" ht="18.75">
      <c r="AS426" s="3"/>
    </row>
    <row r="427" ht="18.75">
      <c r="AS427" s="3"/>
    </row>
    <row r="428" ht="18.75">
      <c r="AS428" s="3"/>
    </row>
    <row r="429" ht="18.75">
      <c r="AS429" s="3"/>
    </row>
    <row r="430" ht="18.75">
      <c r="AS430" s="3"/>
    </row>
    <row r="431" ht="18.75">
      <c r="AS431" s="3"/>
    </row>
    <row r="432" ht="18.75">
      <c r="AS432" s="3"/>
    </row>
    <row r="433" ht="18.75">
      <c r="AS433" s="3"/>
    </row>
    <row r="434" ht="18.75">
      <c r="AS434" s="3"/>
    </row>
    <row r="435" ht="18.75">
      <c r="AS435" s="3"/>
    </row>
    <row r="436" ht="18.75">
      <c r="AS436" s="3"/>
    </row>
    <row r="437" ht="18.75">
      <c r="AS437" s="3"/>
    </row>
    <row r="438" ht="18.75">
      <c r="AS438" s="3"/>
    </row>
    <row r="439" ht="18.75">
      <c r="AS439" s="3"/>
    </row>
    <row r="440" ht="18.75">
      <c r="AS440" s="3"/>
    </row>
    <row r="441" ht="18.75">
      <c r="AS441" s="3"/>
    </row>
    <row r="442" ht="18.75">
      <c r="AS442" s="3"/>
    </row>
    <row r="443" ht="18.75">
      <c r="AS443" s="3"/>
    </row>
    <row r="444" ht="18.75">
      <c r="AS444" s="3"/>
    </row>
    <row r="445" ht="18.75">
      <c r="AS445" s="3"/>
    </row>
    <row r="446" ht="18.75">
      <c r="AS446" s="3"/>
    </row>
    <row r="447" ht="18.75">
      <c r="AS447" s="3"/>
    </row>
    <row r="448" ht="18.75">
      <c r="AS448" s="3"/>
    </row>
    <row r="449" ht="18.75">
      <c r="AS449" s="3"/>
    </row>
    <row r="450" ht="18.75">
      <c r="AS450" s="3"/>
    </row>
    <row r="451" ht="18.75">
      <c r="AS451" s="3"/>
    </row>
    <row r="452" ht="18.75">
      <c r="AS452" s="3"/>
    </row>
    <row r="453" ht="18.75">
      <c r="AS453" s="3"/>
    </row>
    <row r="454" ht="18.75">
      <c r="AS454" s="3"/>
    </row>
    <row r="455" ht="18.75">
      <c r="AS455" s="3"/>
    </row>
    <row r="456" ht="18.75">
      <c r="AS456" s="3"/>
    </row>
    <row r="457" ht="18.75">
      <c r="AS457" s="3"/>
    </row>
    <row r="458" ht="18.75">
      <c r="AS458" s="3"/>
    </row>
    <row r="459" ht="18.75">
      <c r="AS459" s="3"/>
    </row>
    <row r="460" ht="18.75">
      <c r="AS460" s="3"/>
    </row>
    <row r="461" ht="18.75">
      <c r="AS461" s="3"/>
    </row>
    <row r="462" ht="18.75">
      <c r="AS462" s="3"/>
    </row>
    <row r="463" ht="18.75">
      <c r="AS463" s="3"/>
    </row>
    <row r="464" ht="18.75">
      <c r="AS464" s="3"/>
    </row>
    <row r="465" ht="18.75">
      <c r="AS465" s="3"/>
    </row>
    <row r="466" ht="18.75">
      <c r="AS466" s="3"/>
    </row>
    <row r="467" ht="18.75">
      <c r="AS467" s="3"/>
    </row>
    <row r="468" ht="18.75">
      <c r="AS468" s="3"/>
    </row>
    <row r="469" ht="18.75">
      <c r="AS469" s="3"/>
    </row>
    <row r="470" ht="18.75">
      <c r="AS470" s="3"/>
    </row>
    <row r="471" ht="18.75">
      <c r="AS471" s="3"/>
    </row>
    <row r="472" ht="18.75">
      <c r="AS472" s="3"/>
    </row>
    <row r="473" ht="18.75">
      <c r="AS473" s="3"/>
    </row>
    <row r="474" ht="18.75">
      <c r="AS474" s="3"/>
    </row>
    <row r="475" ht="18.75">
      <c r="AS475" s="3"/>
    </row>
    <row r="476" ht="18.75">
      <c r="AS476" s="3"/>
    </row>
    <row r="477" ht="18.75">
      <c r="AS477" s="3"/>
    </row>
    <row r="478" ht="18.75">
      <c r="AS478" s="3"/>
    </row>
    <row r="479" ht="18.75">
      <c r="AS479" s="3"/>
    </row>
    <row r="480" ht="18.75">
      <c r="AS480" s="3"/>
    </row>
    <row r="481" ht="18.75">
      <c r="AS481" s="3"/>
    </row>
    <row r="482" ht="18.75">
      <c r="AS482" s="3"/>
    </row>
    <row r="483" ht="18.75">
      <c r="AS483" s="3"/>
    </row>
    <row r="484" ht="18.75">
      <c r="AS484" s="3"/>
    </row>
    <row r="485" ht="18.75">
      <c r="AS485" s="3"/>
    </row>
    <row r="486" ht="18.75">
      <c r="AS486" s="3"/>
    </row>
    <row r="487" ht="18.75">
      <c r="AS487" s="3"/>
    </row>
    <row r="488" ht="18.75">
      <c r="AS488" s="3"/>
    </row>
    <row r="489" ht="18.75">
      <c r="AS489" s="3"/>
    </row>
    <row r="490" ht="18.75">
      <c r="AS490" s="3"/>
    </row>
    <row r="491" ht="18.75">
      <c r="AS491" s="3"/>
    </row>
    <row r="492" ht="18.75">
      <c r="AS492" s="3"/>
    </row>
    <row r="493" ht="18.75">
      <c r="AS493" s="3"/>
    </row>
    <row r="494" ht="18.75">
      <c r="AS494" s="3"/>
    </row>
    <row r="495" ht="18.75">
      <c r="AS495" s="3"/>
    </row>
    <row r="496" ht="18.75">
      <c r="AS496" s="3"/>
    </row>
    <row r="497" ht="18.75">
      <c r="AS497" s="3"/>
    </row>
    <row r="498" ht="18.75">
      <c r="AS498" s="3"/>
    </row>
    <row r="499" ht="18.75">
      <c r="AS499" s="3"/>
    </row>
    <row r="500" ht="18.75">
      <c r="AS500" s="3"/>
    </row>
    <row r="501" ht="18.75">
      <c r="AS501" s="3"/>
    </row>
    <row r="502" ht="18.75">
      <c r="AS502" s="3"/>
    </row>
    <row r="503" ht="18.75">
      <c r="AS503" s="3"/>
    </row>
    <row r="504" ht="18.75">
      <c r="AS504" s="3"/>
    </row>
    <row r="505" ht="18.75">
      <c r="AS505" s="3"/>
    </row>
    <row r="506" ht="18.75">
      <c r="AS506" s="3"/>
    </row>
    <row r="507" ht="18.75">
      <c r="AS507" s="3"/>
    </row>
    <row r="508" ht="18.75">
      <c r="AS508" s="3"/>
    </row>
    <row r="509" ht="18.75">
      <c r="AS509" s="3"/>
    </row>
    <row r="510" ht="18.75">
      <c r="AS510" s="3"/>
    </row>
    <row r="511" ht="18.75">
      <c r="AS511" s="3"/>
    </row>
    <row r="512" ht="18.75">
      <c r="AS512" s="3"/>
    </row>
    <row r="513" ht="18.75">
      <c r="AS513" s="3"/>
    </row>
    <row r="514" ht="18.75">
      <c r="AS514" s="3"/>
    </row>
    <row r="515" ht="18.75">
      <c r="AS515" s="3"/>
    </row>
    <row r="516" ht="18.75">
      <c r="AS516" s="3"/>
    </row>
    <row r="517" ht="18.75">
      <c r="AS517" s="3"/>
    </row>
    <row r="518" ht="18.75">
      <c r="AS518" s="3"/>
    </row>
    <row r="519" ht="18.75">
      <c r="AS519" s="3"/>
    </row>
    <row r="520" ht="18.75">
      <c r="AS520" s="3"/>
    </row>
    <row r="521" ht="18.75">
      <c r="AS521" s="3"/>
    </row>
    <row r="522" ht="18.75">
      <c r="AS522" s="3"/>
    </row>
    <row r="523" ht="18.75">
      <c r="AS523" s="3"/>
    </row>
    <row r="524" ht="18.75">
      <c r="AS524" s="3"/>
    </row>
    <row r="525" ht="18.75">
      <c r="AS525" s="3"/>
    </row>
    <row r="526" ht="18.75">
      <c r="AS526" s="3"/>
    </row>
    <row r="527" ht="18.75">
      <c r="AS527" s="3"/>
    </row>
    <row r="528" ht="18.75">
      <c r="AS528" s="3"/>
    </row>
    <row r="529" ht="18.75">
      <c r="AS529" s="3"/>
    </row>
    <row r="530" ht="18.75">
      <c r="AS530" s="3"/>
    </row>
    <row r="531" ht="18.75">
      <c r="AS531" s="3"/>
    </row>
    <row r="532" ht="18.75">
      <c r="AS532" s="3"/>
    </row>
    <row r="533" ht="18.75">
      <c r="AS533" s="3"/>
    </row>
    <row r="534" ht="18.75">
      <c r="AS534" s="3"/>
    </row>
    <row r="535" ht="18.75">
      <c r="AS535" s="3"/>
    </row>
    <row r="536" ht="18.75">
      <c r="AS536" s="3"/>
    </row>
    <row r="537" ht="18.75">
      <c r="AS537" s="3"/>
    </row>
    <row r="538" ht="18.75">
      <c r="AS538" s="3"/>
    </row>
    <row r="539" ht="18.75">
      <c r="AS539" s="3"/>
    </row>
    <row r="540" ht="18.75">
      <c r="AS540" s="3"/>
    </row>
    <row r="541" ht="18.75">
      <c r="AS541" s="3"/>
    </row>
    <row r="542" ht="18.75">
      <c r="AS542" s="3"/>
    </row>
    <row r="543" ht="18.75">
      <c r="AS543" s="3"/>
    </row>
    <row r="544" ht="18.75">
      <c r="AS544" s="3"/>
    </row>
    <row r="545" ht="18.75">
      <c r="AS545" s="3"/>
    </row>
    <row r="546" ht="18.75">
      <c r="AS546" s="3"/>
    </row>
    <row r="547" ht="18.75">
      <c r="AS547" s="3"/>
    </row>
    <row r="548" ht="18.75">
      <c r="AS548" s="3"/>
    </row>
    <row r="549" ht="18.75">
      <c r="AS549" s="3"/>
    </row>
    <row r="550" ht="18.75">
      <c r="AS550" s="3"/>
    </row>
    <row r="551" ht="18.75">
      <c r="AS551" s="3"/>
    </row>
    <row r="552" ht="18.75">
      <c r="AS552" s="3"/>
    </row>
    <row r="553" ht="18.75">
      <c r="AS553" s="3"/>
    </row>
    <row r="554" ht="18.75">
      <c r="AS554" s="3"/>
    </row>
    <row r="555" ht="18.75">
      <c r="AS555" s="3"/>
    </row>
    <row r="556" ht="18.75">
      <c r="AS556" s="3"/>
    </row>
    <row r="557" ht="18.75">
      <c r="AS557" s="3"/>
    </row>
    <row r="558" ht="18.75">
      <c r="AS558" s="3"/>
    </row>
    <row r="559" ht="18.75">
      <c r="AS559" s="3"/>
    </row>
    <row r="560" ht="18.75">
      <c r="AS560" s="3"/>
    </row>
    <row r="561" ht="18.75">
      <c r="AS561" s="3"/>
    </row>
    <row r="562" ht="18.75">
      <c r="AS562" s="3"/>
    </row>
    <row r="563" ht="18.75">
      <c r="AS563" s="3"/>
    </row>
    <row r="564" ht="18.75">
      <c r="AS564" s="3"/>
    </row>
    <row r="565" ht="18.75">
      <c r="AS565" s="3"/>
    </row>
    <row r="566" ht="18.75">
      <c r="AS566" s="3"/>
    </row>
    <row r="567" ht="18.75">
      <c r="AS567" s="3"/>
    </row>
    <row r="568" ht="18.75">
      <c r="AS568" s="3"/>
    </row>
    <row r="569" ht="18.75">
      <c r="AS569" s="3"/>
    </row>
    <row r="570" ht="18.75">
      <c r="AS570" s="3"/>
    </row>
    <row r="571" ht="18.75">
      <c r="AS571" s="3"/>
    </row>
    <row r="572" ht="18.75">
      <c r="AS572" s="3"/>
    </row>
    <row r="573" ht="18.75">
      <c r="AS573" s="3"/>
    </row>
    <row r="574" ht="18.75">
      <c r="AS574" s="3"/>
    </row>
    <row r="575" ht="18.75">
      <c r="AS575" s="3"/>
    </row>
    <row r="576" ht="18.75">
      <c r="AS576" s="3"/>
    </row>
    <row r="577" ht="18.75">
      <c r="AS577" s="3"/>
    </row>
    <row r="578" ht="18.75">
      <c r="AS578" s="3"/>
    </row>
    <row r="579" ht="18.75">
      <c r="AS579" s="3"/>
    </row>
    <row r="580" ht="18.75">
      <c r="AS580" s="3"/>
    </row>
    <row r="581" ht="18.75">
      <c r="AS581" s="3"/>
    </row>
    <row r="582" ht="18.75">
      <c r="AS582" s="3"/>
    </row>
    <row r="583" ht="18.75">
      <c r="AS583" s="3"/>
    </row>
    <row r="584" ht="18.75">
      <c r="AS584" s="3"/>
    </row>
    <row r="585" ht="18.75">
      <c r="AS585" s="3"/>
    </row>
    <row r="586" ht="18.75">
      <c r="AS586" s="3"/>
    </row>
    <row r="587" ht="18.75">
      <c r="AS587" s="3"/>
    </row>
    <row r="588" ht="18.75">
      <c r="AS588" s="3"/>
    </row>
    <row r="589" ht="18.75">
      <c r="AS589" s="3"/>
    </row>
    <row r="590" ht="18.75">
      <c r="AS590" s="3"/>
    </row>
    <row r="591" ht="18.75">
      <c r="AS591" s="3"/>
    </row>
    <row r="592" ht="18.75">
      <c r="AS592" s="3"/>
    </row>
    <row r="593" ht="18.75">
      <c r="AS593" s="3"/>
    </row>
    <row r="594" ht="18.75">
      <c r="AS594" s="3"/>
    </row>
    <row r="595" ht="18.75">
      <c r="AS595" s="3"/>
    </row>
    <row r="596" ht="18.75">
      <c r="AS596" s="3"/>
    </row>
    <row r="597" ht="18.75">
      <c r="AS597" s="3"/>
    </row>
    <row r="598" ht="18.75">
      <c r="AS598" s="3"/>
    </row>
    <row r="599" ht="18.75">
      <c r="AS599" s="3"/>
    </row>
    <row r="600" ht="18.75">
      <c r="AS600" s="3"/>
    </row>
    <row r="601" ht="18.75">
      <c r="AS601" s="3"/>
    </row>
    <row r="602" ht="18.75">
      <c r="AS602" s="3"/>
    </row>
    <row r="603" ht="18.75">
      <c r="AS603" s="3"/>
    </row>
    <row r="604" ht="18.75">
      <c r="AS604" s="3"/>
    </row>
    <row r="605" ht="18.75">
      <c r="AS605" s="3"/>
    </row>
    <row r="606" ht="18.75">
      <c r="AS606" s="3"/>
    </row>
    <row r="607" ht="18.75">
      <c r="AS607" s="3"/>
    </row>
    <row r="608" ht="18.75">
      <c r="AS608" s="3"/>
    </row>
    <row r="609" ht="18.75">
      <c r="AS609" s="3"/>
    </row>
    <row r="610" ht="18.75">
      <c r="AS610" s="3"/>
    </row>
    <row r="611" ht="18.75">
      <c r="AS611" s="3"/>
    </row>
    <row r="612" ht="18.75">
      <c r="AS612" s="3"/>
    </row>
    <row r="613" ht="18.75">
      <c r="AS613" s="3"/>
    </row>
    <row r="614" ht="18.75">
      <c r="AS614" s="3"/>
    </row>
    <row r="615" ht="18.75">
      <c r="AS615" s="3"/>
    </row>
    <row r="616" ht="18.75">
      <c r="AS616" s="3"/>
    </row>
    <row r="617" ht="18.75">
      <c r="AS617" s="3"/>
    </row>
    <row r="618" ht="18.75">
      <c r="AS618" s="3"/>
    </row>
    <row r="619" ht="18.75">
      <c r="AS619" s="3"/>
    </row>
    <row r="620" ht="18.75">
      <c r="AS620" s="3"/>
    </row>
    <row r="621" ht="18.75">
      <c r="AS621" s="3"/>
    </row>
    <row r="622" ht="18.75">
      <c r="AS622" s="3"/>
    </row>
    <row r="623" ht="18.75">
      <c r="AS623" s="3"/>
    </row>
    <row r="624" ht="18.75">
      <c r="AS624" s="3"/>
    </row>
    <row r="625" ht="18.75">
      <c r="AS625" s="3"/>
    </row>
    <row r="626" ht="18.75">
      <c r="AS626" s="3"/>
    </row>
    <row r="627" ht="18.75">
      <c r="AS627" s="3"/>
    </row>
    <row r="628" ht="18.75">
      <c r="AS628" s="3"/>
    </row>
    <row r="629" ht="18.75">
      <c r="AS629" s="3"/>
    </row>
    <row r="630" ht="18.75">
      <c r="AS630" s="3"/>
    </row>
    <row r="631" ht="18.75">
      <c r="AS631" s="3"/>
    </row>
    <row r="632" ht="18.75">
      <c r="AS632" s="3"/>
    </row>
    <row r="633" ht="18.75">
      <c r="AS633" s="3"/>
    </row>
    <row r="634" ht="18.75">
      <c r="AS634" s="3"/>
    </row>
    <row r="635" ht="18.75">
      <c r="AS635" s="3"/>
    </row>
    <row r="636" ht="18.75">
      <c r="AS636" s="3"/>
    </row>
    <row r="637" ht="18.75">
      <c r="AS637" s="3"/>
    </row>
    <row r="638" ht="18.75">
      <c r="AS638" s="3"/>
    </row>
    <row r="639" ht="18.75">
      <c r="AS639" s="3"/>
    </row>
    <row r="640" ht="18.75">
      <c r="AS640" s="3"/>
    </row>
    <row r="641" ht="18.75">
      <c r="AS641" s="3"/>
    </row>
    <row r="642" ht="18.75">
      <c r="AS642" s="3"/>
    </row>
    <row r="643" ht="18.75">
      <c r="AS643" s="3"/>
    </row>
    <row r="644" ht="18.75">
      <c r="AS644" s="3"/>
    </row>
    <row r="645" ht="18.75">
      <c r="AS645" s="3"/>
    </row>
    <row r="646" ht="18.75">
      <c r="AS646" s="3"/>
    </row>
    <row r="647" ht="18.75">
      <c r="AS647" s="3"/>
    </row>
    <row r="648" ht="18.75">
      <c r="AS648" s="3"/>
    </row>
    <row r="649" ht="18.75">
      <c r="AS649" s="3"/>
    </row>
    <row r="650" ht="18.75">
      <c r="AS650" s="3"/>
    </row>
    <row r="651" ht="18.75">
      <c r="AS651" s="3"/>
    </row>
    <row r="652" ht="18.75">
      <c r="AS652" s="3"/>
    </row>
    <row r="653" ht="18.75">
      <c r="AS653" s="3"/>
    </row>
    <row r="654" ht="18.75">
      <c r="AS654" s="3"/>
    </row>
    <row r="655" ht="18.75">
      <c r="AS655" s="3"/>
    </row>
    <row r="656" ht="18.75">
      <c r="AS656" s="3"/>
    </row>
    <row r="657" ht="18.75">
      <c r="AS657" s="3"/>
    </row>
    <row r="658" ht="18.75">
      <c r="AS658" s="3"/>
    </row>
    <row r="659" ht="18.75">
      <c r="AS659" s="3"/>
    </row>
    <row r="660" ht="18.75">
      <c r="AS660" s="3"/>
    </row>
    <row r="661" ht="18.75">
      <c r="AS661" s="3"/>
    </row>
    <row r="662" ht="18.75">
      <c r="AS662" s="3"/>
    </row>
    <row r="663" ht="18.75">
      <c r="AS663" s="3"/>
    </row>
    <row r="664" ht="18.75">
      <c r="AS664" s="3"/>
    </row>
    <row r="665" ht="18.75">
      <c r="AS665" s="3"/>
    </row>
    <row r="666" ht="18.75">
      <c r="AS666" s="3"/>
    </row>
    <row r="667" ht="18.75">
      <c r="AS667" s="3"/>
    </row>
    <row r="668" ht="18.75">
      <c r="AS668" s="3"/>
    </row>
    <row r="669" ht="18.75">
      <c r="AS669" s="3"/>
    </row>
    <row r="670" ht="18.75">
      <c r="AS670" s="3"/>
    </row>
    <row r="671" ht="18.75">
      <c r="AS671" s="3"/>
    </row>
    <row r="672" ht="18.75">
      <c r="AS672" s="3"/>
    </row>
    <row r="673" ht="18.75">
      <c r="AS673" s="3"/>
    </row>
    <row r="674" ht="18.75">
      <c r="AS674" s="3"/>
    </row>
    <row r="675" ht="18.75">
      <c r="AS675" s="3"/>
    </row>
    <row r="676" ht="18.75">
      <c r="AS676" s="3"/>
    </row>
    <row r="677" ht="18.75">
      <c r="AS677" s="3"/>
    </row>
    <row r="678" ht="18.75">
      <c r="AS678" s="3"/>
    </row>
    <row r="679" ht="18.75">
      <c r="AS679" s="3"/>
    </row>
    <row r="680" ht="18.75">
      <c r="AS680" s="3"/>
    </row>
    <row r="681" ht="18.75">
      <c r="AS681" s="3"/>
    </row>
    <row r="682" ht="18.75">
      <c r="AS682" s="3"/>
    </row>
    <row r="683" ht="18.75">
      <c r="AS683" s="3"/>
    </row>
    <row r="684" ht="18.75">
      <c r="AS684" s="3"/>
    </row>
    <row r="685" ht="18.75">
      <c r="AS685" s="3"/>
    </row>
    <row r="686" ht="18.75">
      <c r="AS686" s="3"/>
    </row>
    <row r="687" ht="18.75">
      <c r="AS687" s="3"/>
    </row>
    <row r="688" ht="18.75">
      <c r="AS688" s="3"/>
    </row>
    <row r="689" ht="18.75">
      <c r="AS689" s="3"/>
    </row>
    <row r="690" ht="18.75">
      <c r="AS690" s="3"/>
    </row>
    <row r="691" ht="18.75">
      <c r="AS691" s="3"/>
    </row>
    <row r="692" ht="18.75">
      <c r="AS692" s="3"/>
    </row>
    <row r="693" ht="18.75">
      <c r="AS693" s="3"/>
    </row>
    <row r="694" ht="18.75">
      <c r="AS694" s="3"/>
    </row>
    <row r="695" ht="18.75">
      <c r="AS695" s="3"/>
    </row>
    <row r="696" ht="18.75">
      <c r="AS696" s="3"/>
    </row>
    <row r="697" ht="18.75">
      <c r="AS697" s="3"/>
    </row>
    <row r="698" ht="18.75">
      <c r="AS698" s="3"/>
    </row>
    <row r="699" ht="18.75">
      <c r="AS699" s="3"/>
    </row>
    <row r="700" ht="18.75">
      <c r="AS700" s="3"/>
    </row>
    <row r="701" ht="18.75">
      <c r="AS701" s="3"/>
    </row>
    <row r="702" ht="18.75">
      <c r="AS702" s="3"/>
    </row>
    <row r="703" ht="18.75">
      <c r="AS703" s="3"/>
    </row>
    <row r="704" ht="18.75">
      <c r="AS704" s="3"/>
    </row>
    <row r="705" ht="18.75">
      <c r="AS705" s="3"/>
    </row>
    <row r="706" ht="18.75">
      <c r="AS706" s="3"/>
    </row>
    <row r="707" ht="18.75">
      <c r="AS707" s="3"/>
    </row>
    <row r="708" ht="18.75">
      <c r="AS708" s="3"/>
    </row>
    <row r="709" ht="18.75">
      <c r="AS709" s="3"/>
    </row>
    <row r="710" ht="18.75">
      <c r="AS710" s="3"/>
    </row>
    <row r="711" ht="18.75">
      <c r="AS711" s="3"/>
    </row>
    <row r="712" ht="18.75">
      <c r="AS712" s="3"/>
    </row>
    <row r="713" ht="18.75">
      <c r="AS713" s="3"/>
    </row>
    <row r="714" ht="18.75">
      <c r="AS714" s="3"/>
    </row>
    <row r="715" ht="18.75">
      <c r="AS715" s="3"/>
    </row>
    <row r="716" ht="18.75">
      <c r="AS716" s="3"/>
    </row>
    <row r="717" ht="18.75">
      <c r="AS717" s="3"/>
    </row>
    <row r="718" ht="18.75">
      <c r="AS718" s="3"/>
    </row>
    <row r="719" ht="18.75">
      <c r="AS719" s="3"/>
    </row>
    <row r="720" ht="18.75">
      <c r="AS720" s="3"/>
    </row>
    <row r="721" ht="18.75">
      <c r="AS721" s="3"/>
    </row>
    <row r="722" ht="18.75">
      <c r="AS722" s="3"/>
    </row>
    <row r="723" ht="18.75">
      <c r="AS723" s="3"/>
    </row>
    <row r="724" ht="18.75">
      <c r="AS724" s="3"/>
    </row>
    <row r="725" ht="18.75">
      <c r="AS725" s="3"/>
    </row>
    <row r="726" ht="18.75">
      <c r="AS726" s="3"/>
    </row>
    <row r="727" ht="18.75">
      <c r="AS727" s="3"/>
    </row>
    <row r="728" ht="18.75">
      <c r="AS728" s="3"/>
    </row>
    <row r="729" ht="18.75">
      <c r="AS729" s="3"/>
    </row>
    <row r="730" ht="18.75">
      <c r="AS730" s="3"/>
    </row>
    <row r="731" ht="18.75">
      <c r="AS731" s="3"/>
    </row>
    <row r="732" ht="18.75">
      <c r="AS732" s="3"/>
    </row>
    <row r="733" ht="18.75">
      <c r="AS733" s="3"/>
    </row>
    <row r="734" ht="18.75">
      <c r="AS734" s="3"/>
    </row>
    <row r="735" ht="18.75">
      <c r="AS735" s="3"/>
    </row>
    <row r="736" ht="18.75">
      <c r="AS736" s="3"/>
    </row>
    <row r="737" ht="18.75">
      <c r="AS737" s="3"/>
    </row>
    <row r="738" ht="18.75">
      <c r="AS738" s="3"/>
    </row>
    <row r="739" ht="18.75">
      <c r="AS739" s="3"/>
    </row>
    <row r="740" ht="18.75">
      <c r="AS740" s="3"/>
    </row>
    <row r="741" ht="18.75">
      <c r="AS741" s="3"/>
    </row>
    <row r="742" ht="18.75">
      <c r="AS742" s="3"/>
    </row>
    <row r="743" ht="18.75">
      <c r="AS743" s="3"/>
    </row>
    <row r="744" ht="18.75">
      <c r="AS744" s="3"/>
    </row>
    <row r="745" ht="18.75">
      <c r="AS745" s="3"/>
    </row>
    <row r="746" ht="18.75">
      <c r="AS746" s="3"/>
    </row>
    <row r="747" ht="18.75">
      <c r="AS747" s="3"/>
    </row>
    <row r="748" ht="18.75">
      <c r="AS748" s="3"/>
    </row>
    <row r="749" ht="18.75">
      <c r="AS749" s="3"/>
    </row>
    <row r="750" ht="18.75">
      <c r="AS750" s="3"/>
    </row>
    <row r="751" ht="18.75">
      <c r="AS751" s="3"/>
    </row>
    <row r="752" ht="18.75">
      <c r="AS752" s="3"/>
    </row>
    <row r="753" ht="18.75">
      <c r="AS753" s="3"/>
    </row>
    <row r="754" ht="18.75">
      <c r="AS754" s="3"/>
    </row>
    <row r="755" ht="18.75">
      <c r="AS755" s="3"/>
    </row>
    <row r="756" ht="18.75">
      <c r="AS756" s="3"/>
    </row>
    <row r="757" ht="18.75">
      <c r="AS757" s="3"/>
    </row>
    <row r="758" ht="18.75">
      <c r="AS758" s="3"/>
    </row>
    <row r="759" ht="18.75">
      <c r="AS759" s="3"/>
    </row>
    <row r="760" ht="18.75">
      <c r="AS760" s="3"/>
    </row>
    <row r="761" ht="18.75">
      <c r="AS761" s="3"/>
    </row>
    <row r="762" ht="18.75">
      <c r="AS762" s="3"/>
    </row>
    <row r="763" ht="18.75">
      <c r="AS763" s="3"/>
    </row>
    <row r="764" ht="18.75">
      <c r="AS764" s="3"/>
    </row>
    <row r="765" ht="18.75">
      <c r="AS765" s="3"/>
    </row>
    <row r="766" ht="18.75">
      <c r="AS766" s="3"/>
    </row>
    <row r="767" ht="18.75">
      <c r="AS767" s="3"/>
    </row>
    <row r="768" ht="18.75">
      <c r="AS768" s="3"/>
    </row>
    <row r="769" ht="18.75">
      <c r="AS769" s="3"/>
    </row>
    <row r="770" ht="18.75">
      <c r="AS770" s="3"/>
    </row>
    <row r="771" ht="18.75">
      <c r="AS771" s="3"/>
    </row>
    <row r="772" ht="18.75">
      <c r="AS772" s="3"/>
    </row>
    <row r="773" ht="18.75">
      <c r="AS773" s="3"/>
    </row>
    <row r="774" ht="18.75">
      <c r="AS774" s="3"/>
    </row>
    <row r="775" ht="18.75">
      <c r="AS775" s="3"/>
    </row>
    <row r="776" ht="18.75">
      <c r="AS776" s="3"/>
    </row>
    <row r="777" ht="18.75">
      <c r="AS777" s="3"/>
    </row>
    <row r="778" ht="18.75">
      <c r="AS778" s="3"/>
    </row>
    <row r="779" ht="18.75">
      <c r="AS779" s="3"/>
    </row>
    <row r="780" ht="18.75">
      <c r="AS780" s="3"/>
    </row>
    <row r="781" ht="18.75">
      <c r="AS781" s="3"/>
    </row>
    <row r="782" ht="18.75">
      <c r="AS782" s="3"/>
    </row>
    <row r="783" ht="18.75">
      <c r="AS783" s="3"/>
    </row>
    <row r="784" ht="18.75">
      <c r="AS784" s="3"/>
    </row>
    <row r="785" ht="18.75">
      <c r="AS785" s="3"/>
    </row>
    <row r="786" ht="18.75">
      <c r="AS786" s="3"/>
    </row>
    <row r="787" ht="18.75">
      <c r="AS787" s="3"/>
    </row>
    <row r="788" ht="18.75">
      <c r="AS788" s="3"/>
    </row>
    <row r="789" ht="18.75">
      <c r="AS789" s="3"/>
    </row>
    <row r="790" ht="18.75">
      <c r="AS790" s="3"/>
    </row>
    <row r="791" ht="18.75">
      <c r="AS791" s="3"/>
    </row>
    <row r="792" ht="18.75">
      <c r="AS792" s="3"/>
    </row>
    <row r="793" ht="18.75">
      <c r="AS793" s="3"/>
    </row>
    <row r="794" ht="18.75">
      <c r="AS794" s="3"/>
    </row>
    <row r="795" ht="18.75">
      <c r="AS795" s="3"/>
    </row>
    <row r="796" ht="18.75">
      <c r="AS796" s="3"/>
    </row>
    <row r="797" ht="18.75">
      <c r="AS797" s="3"/>
    </row>
    <row r="798" ht="18.75">
      <c r="AS798" s="3"/>
    </row>
    <row r="799" ht="18.75">
      <c r="AS799" s="3"/>
    </row>
    <row r="800" ht="18.75">
      <c r="AS800" s="3"/>
    </row>
    <row r="801" ht="18.75">
      <c r="AS801" s="3"/>
    </row>
    <row r="802" ht="18.75">
      <c r="AS802" s="3"/>
    </row>
    <row r="803" ht="18.75">
      <c r="AS803" s="3"/>
    </row>
    <row r="804" ht="18.75">
      <c r="AS804" s="3"/>
    </row>
    <row r="805" ht="18.75">
      <c r="AS805" s="3"/>
    </row>
    <row r="806" ht="18.75">
      <c r="AS806" s="3"/>
    </row>
    <row r="807" ht="18.75">
      <c r="AS807" s="3"/>
    </row>
    <row r="808" ht="18.75">
      <c r="AS808" s="3"/>
    </row>
    <row r="809" ht="18.75">
      <c r="AS809" s="3"/>
    </row>
    <row r="810" ht="18.75">
      <c r="AS810" s="3"/>
    </row>
    <row r="811" ht="18.75">
      <c r="AS811" s="3"/>
    </row>
    <row r="812" ht="18.75">
      <c r="AS812" s="3"/>
    </row>
    <row r="813" ht="18.75">
      <c r="AS813" s="3"/>
    </row>
    <row r="814" ht="18.75">
      <c r="AS814" s="3"/>
    </row>
    <row r="815" ht="18.75">
      <c r="AS815" s="3"/>
    </row>
    <row r="816" ht="18.75">
      <c r="AS816" s="3"/>
    </row>
    <row r="817" ht="18.75">
      <c r="AS817" s="3"/>
    </row>
    <row r="818" ht="18.75">
      <c r="AS818" s="3"/>
    </row>
    <row r="819" ht="18.75">
      <c r="AS819" s="3"/>
    </row>
    <row r="820" ht="18.75">
      <c r="AS820" s="3"/>
    </row>
    <row r="821" ht="18.75">
      <c r="AS821" s="3"/>
    </row>
    <row r="822" ht="18.75">
      <c r="AS822" s="3"/>
    </row>
    <row r="823" ht="18.75">
      <c r="AS823" s="3"/>
    </row>
    <row r="824" ht="18.75">
      <c r="AS824" s="3"/>
    </row>
    <row r="825" ht="18.75">
      <c r="AS825" s="3"/>
    </row>
    <row r="826" ht="18.75">
      <c r="AS826" s="3"/>
    </row>
    <row r="827" ht="18.75">
      <c r="AS827" s="3"/>
    </row>
    <row r="828" ht="18.75">
      <c r="AS828" s="3"/>
    </row>
    <row r="829" ht="18.75">
      <c r="AS829" s="3"/>
    </row>
    <row r="830" ht="18.75">
      <c r="AS830" s="3"/>
    </row>
    <row r="831" ht="18.75">
      <c r="AS831" s="3"/>
    </row>
    <row r="832" ht="18.75">
      <c r="AS832" s="3"/>
    </row>
    <row r="833" ht="18.75">
      <c r="AS833" s="3"/>
    </row>
    <row r="834" ht="18.75">
      <c r="AS834" s="3"/>
    </row>
    <row r="835" ht="18.75">
      <c r="AS835" s="3"/>
    </row>
    <row r="836" ht="18.75">
      <c r="AS836" s="3"/>
    </row>
    <row r="837" ht="18.75">
      <c r="AS837" s="3"/>
    </row>
    <row r="838" ht="18.75">
      <c r="AS838" s="3"/>
    </row>
    <row r="839" ht="18.75">
      <c r="AS839" s="3"/>
    </row>
    <row r="840" ht="18.75">
      <c r="AS840" s="3"/>
    </row>
    <row r="841" ht="18.75">
      <c r="AS841" s="3"/>
    </row>
    <row r="842" ht="18.75">
      <c r="AS842" s="3"/>
    </row>
    <row r="843" ht="18.75">
      <c r="AS843" s="3"/>
    </row>
    <row r="844" ht="18.75">
      <c r="AS844" s="3"/>
    </row>
    <row r="845" ht="18.75">
      <c r="AS845" s="3"/>
    </row>
    <row r="846" ht="18.75">
      <c r="AS846" s="3"/>
    </row>
    <row r="847" ht="18.75">
      <c r="AS847" s="3"/>
    </row>
    <row r="848" ht="18.75">
      <c r="AS848" s="3"/>
    </row>
    <row r="849" ht="18.75">
      <c r="AS849" s="3"/>
    </row>
    <row r="850" ht="18.75">
      <c r="AS850" s="3"/>
    </row>
    <row r="851" ht="18.75">
      <c r="AS851" s="3"/>
    </row>
    <row r="852" ht="18.75">
      <c r="AS852" s="3"/>
    </row>
    <row r="853" ht="18.75">
      <c r="AS853" s="3"/>
    </row>
    <row r="854" ht="18.75">
      <c r="AS854" s="3"/>
    </row>
    <row r="855" ht="18.75">
      <c r="AS855" s="3"/>
    </row>
    <row r="856" ht="18.75">
      <c r="AS856" s="3"/>
    </row>
    <row r="857" ht="18.75">
      <c r="AS857" s="3"/>
    </row>
    <row r="858" ht="18.75">
      <c r="AS858" s="3"/>
    </row>
    <row r="859" ht="18.75">
      <c r="AS859" s="3"/>
    </row>
    <row r="860" ht="18.75">
      <c r="AS860" s="3"/>
    </row>
    <row r="861" ht="18.75">
      <c r="AS861" s="3"/>
    </row>
    <row r="862" ht="18.75">
      <c r="AS862" s="3"/>
    </row>
    <row r="863" ht="18.75">
      <c r="AS863" s="3"/>
    </row>
    <row r="864" ht="18.75">
      <c r="AS864" s="3"/>
    </row>
    <row r="865" ht="18.75">
      <c r="AS865" s="3"/>
    </row>
    <row r="866" ht="18.75">
      <c r="AS866" s="3"/>
    </row>
    <row r="867" ht="18.75">
      <c r="AS867" s="3"/>
    </row>
    <row r="868" ht="18.75">
      <c r="AS868" s="3"/>
    </row>
    <row r="869" ht="18.75">
      <c r="AS869" s="3"/>
    </row>
    <row r="870" ht="18.75">
      <c r="AS870" s="3"/>
    </row>
    <row r="871" ht="18.75">
      <c r="AS871" s="3"/>
    </row>
    <row r="872" ht="18.75">
      <c r="AS872" s="3"/>
    </row>
    <row r="873" ht="18.75">
      <c r="AS873" s="3"/>
    </row>
    <row r="874" ht="18.75">
      <c r="AS874" s="3"/>
    </row>
    <row r="875" ht="18.75">
      <c r="AS875" s="3"/>
    </row>
    <row r="876" ht="18.75">
      <c r="AS876" s="3"/>
    </row>
    <row r="877" ht="18.75">
      <c r="AS877" s="3"/>
    </row>
    <row r="878" ht="18.75">
      <c r="AS878" s="3"/>
    </row>
    <row r="879" ht="18.75">
      <c r="AS879" s="3"/>
    </row>
    <row r="880" ht="18.75">
      <c r="AS880" s="3"/>
    </row>
    <row r="881" ht="18.75">
      <c r="AS881" s="3"/>
    </row>
    <row r="882" ht="18.75">
      <c r="AS882" s="3"/>
    </row>
    <row r="883" ht="18.75">
      <c r="AS883" s="3"/>
    </row>
    <row r="884" ht="18.75">
      <c r="AS884" s="3"/>
    </row>
    <row r="885" ht="18.75">
      <c r="AS885" s="3"/>
    </row>
    <row r="886" ht="18.75">
      <c r="AS886" s="3"/>
    </row>
    <row r="887" ht="18.75">
      <c r="AS887" s="3"/>
    </row>
    <row r="888" ht="18.75">
      <c r="AS888" s="3"/>
    </row>
    <row r="889" ht="18.75">
      <c r="AS889" s="3"/>
    </row>
    <row r="890" ht="18.75">
      <c r="AS890" s="3"/>
    </row>
    <row r="891" ht="18.75">
      <c r="AS891" s="3"/>
    </row>
    <row r="892" ht="18.75">
      <c r="AS892" s="3"/>
    </row>
    <row r="893" ht="18.75">
      <c r="AS893" s="3"/>
    </row>
    <row r="894" ht="18.75">
      <c r="AS894" s="3"/>
    </row>
    <row r="895" ht="18.75">
      <c r="AS895" s="3"/>
    </row>
    <row r="896" ht="18.75">
      <c r="AS896" s="3"/>
    </row>
    <row r="897" ht="18.75">
      <c r="AS897" s="3"/>
    </row>
    <row r="898" ht="18.75">
      <c r="AS898" s="3"/>
    </row>
    <row r="899" ht="18.75">
      <c r="AS899" s="3"/>
    </row>
    <row r="900" ht="18.75">
      <c r="AS900" s="3"/>
    </row>
    <row r="901" ht="18.75">
      <c r="AS901" s="3"/>
    </row>
    <row r="902" ht="18.75">
      <c r="AS902" s="3"/>
    </row>
    <row r="903" ht="18.75">
      <c r="AS903" s="3"/>
    </row>
    <row r="904" ht="18.75">
      <c r="AS904" s="3"/>
    </row>
    <row r="905" ht="18.75">
      <c r="AS905" s="3"/>
    </row>
    <row r="906" ht="18.75">
      <c r="AS906" s="3"/>
    </row>
    <row r="907" ht="18.75">
      <c r="AS907" s="3"/>
    </row>
    <row r="908" ht="18.75">
      <c r="AS908" s="3"/>
    </row>
    <row r="909" ht="18.75">
      <c r="AS909" s="3"/>
    </row>
    <row r="910" ht="18.75">
      <c r="AS910" s="3"/>
    </row>
    <row r="911" ht="18.75">
      <c r="AS911" s="3"/>
    </row>
    <row r="912" ht="18.75">
      <c r="AS912" s="3"/>
    </row>
    <row r="913" ht="18.75">
      <c r="AS913" s="3"/>
    </row>
    <row r="914" ht="18.75">
      <c r="AS914" s="3"/>
    </row>
    <row r="915" ht="18.75">
      <c r="AS915" s="3"/>
    </row>
    <row r="916" ht="18.75">
      <c r="AS916" s="3"/>
    </row>
    <row r="917" ht="18.75">
      <c r="AS917" s="3"/>
    </row>
    <row r="918" ht="18.75">
      <c r="AS918" s="3"/>
    </row>
    <row r="919" ht="18.75">
      <c r="AS919" s="3"/>
    </row>
    <row r="920" ht="18.75">
      <c r="AS920" s="3"/>
    </row>
    <row r="921" ht="18.75">
      <c r="AS921" s="3"/>
    </row>
    <row r="922" ht="18.75">
      <c r="AS922" s="3"/>
    </row>
    <row r="923" ht="18.75">
      <c r="AS923" s="3"/>
    </row>
    <row r="924" ht="18.75">
      <c r="AS924" s="3"/>
    </row>
    <row r="925" ht="18.75">
      <c r="AS925" s="3"/>
    </row>
    <row r="926" ht="18.75">
      <c r="AS926" s="3"/>
    </row>
    <row r="927" ht="18.75">
      <c r="AS927" s="3"/>
    </row>
    <row r="928" ht="18.75">
      <c r="AS928" s="3"/>
    </row>
    <row r="929" ht="18.75">
      <c r="AS929" s="3"/>
    </row>
    <row r="930" ht="18.75">
      <c r="AS930" s="3"/>
    </row>
    <row r="931" ht="18.75">
      <c r="AS931" s="3"/>
    </row>
    <row r="932" ht="18.75">
      <c r="AS932" s="3"/>
    </row>
    <row r="933" ht="18.75">
      <c r="AS933" s="3"/>
    </row>
    <row r="934" ht="18.75">
      <c r="AS934" s="3"/>
    </row>
    <row r="935" ht="18.75">
      <c r="AS935" s="3"/>
    </row>
    <row r="936" ht="18.75">
      <c r="AS936" s="3"/>
    </row>
    <row r="937" ht="18.75">
      <c r="AS937" s="3"/>
    </row>
    <row r="938" ht="18.75">
      <c r="AS938" s="3"/>
    </row>
    <row r="939" ht="18.75">
      <c r="AS939" s="3"/>
    </row>
    <row r="940" ht="18.75">
      <c r="AS940" s="3"/>
    </row>
    <row r="941" ht="18.75">
      <c r="AS941" s="3"/>
    </row>
    <row r="942" ht="18.75">
      <c r="AS942" s="3"/>
    </row>
    <row r="943" ht="18.75">
      <c r="AS943" s="3"/>
    </row>
    <row r="944" ht="18.75">
      <c r="AS944" s="3"/>
    </row>
    <row r="945" ht="18.75">
      <c r="AS945" s="3"/>
    </row>
    <row r="946" ht="18.75">
      <c r="AS946" s="3"/>
    </row>
    <row r="947" ht="18.75">
      <c r="AS947" s="3"/>
    </row>
    <row r="948" ht="18.75">
      <c r="AS948" s="3"/>
    </row>
    <row r="949" ht="18.75">
      <c r="AS949" s="3"/>
    </row>
    <row r="950" ht="18.75">
      <c r="AS950" s="3"/>
    </row>
    <row r="951" ht="18.75">
      <c r="AS951" s="3"/>
    </row>
    <row r="952" ht="18.75">
      <c r="AS952" s="3"/>
    </row>
    <row r="953" ht="18.75">
      <c r="AS953" s="3"/>
    </row>
    <row r="954" ht="18.75">
      <c r="AS954" s="3"/>
    </row>
    <row r="955" ht="18.75">
      <c r="AS955" s="3"/>
    </row>
    <row r="956" ht="18.75">
      <c r="AS956" s="3"/>
    </row>
    <row r="957" ht="18.75">
      <c r="AS957" s="3"/>
    </row>
    <row r="958" ht="18.75">
      <c r="AS958" s="3"/>
    </row>
    <row r="959" ht="18.75">
      <c r="AS959" s="3"/>
    </row>
    <row r="960" ht="18.75">
      <c r="AS960" s="3"/>
    </row>
    <row r="961" ht="18.75">
      <c r="AS961" s="3"/>
    </row>
    <row r="962" ht="18.75">
      <c r="AS962" s="3"/>
    </row>
    <row r="963" ht="18.75">
      <c r="AS963" s="3"/>
    </row>
    <row r="964" ht="18.75">
      <c r="AS964" s="3"/>
    </row>
    <row r="965" ht="18.75">
      <c r="AS965" s="3"/>
    </row>
    <row r="966" ht="18.75">
      <c r="AS966" s="3"/>
    </row>
    <row r="967" ht="18.75">
      <c r="AS967" s="3"/>
    </row>
    <row r="968" ht="18.75">
      <c r="AS968" s="3"/>
    </row>
    <row r="969" ht="18.75">
      <c r="AS969" s="3"/>
    </row>
    <row r="970" ht="18.75">
      <c r="AS970" s="3"/>
    </row>
    <row r="971" ht="18.75">
      <c r="AS971" s="3"/>
    </row>
    <row r="972" ht="18.75">
      <c r="AS972" s="3"/>
    </row>
    <row r="973" ht="18.75">
      <c r="AS973" s="3"/>
    </row>
    <row r="974" ht="18.75">
      <c r="AS974" s="3"/>
    </row>
    <row r="975" ht="18.75">
      <c r="AS975" s="3"/>
    </row>
    <row r="976" ht="18.75">
      <c r="AS976" s="3"/>
    </row>
    <row r="977" ht="18.75">
      <c r="AS977" s="3"/>
    </row>
    <row r="978" ht="18.75">
      <c r="AS978" s="3"/>
    </row>
    <row r="979" ht="18.75">
      <c r="AS979" s="3"/>
    </row>
    <row r="980" ht="18.75">
      <c r="AS980" s="3"/>
    </row>
    <row r="981" ht="18.75">
      <c r="AS981" s="3"/>
    </row>
    <row r="982" ht="18.75">
      <c r="AS982" s="3"/>
    </row>
    <row r="983" ht="18.75">
      <c r="AS983" s="3"/>
    </row>
    <row r="984" ht="18.75">
      <c r="AS984" s="3"/>
    </row>
    <row r="985" ht="18.75">
      <c r="AS985" s="3"/>
    </row>
    <row r="986" ht="18.75">
      <c r="AS986" s="3"/>
    </row>
    <row r="987" ht="18.75">
      <c r="AS987" s="3"/>
    </row>
    <row r="988" ht="18.75">
      <c r="AS988" s="3"/>
    </row>
    <row r="989" ht="18.75">
      <c r="AS989" s="3"/>
    </row>
    <row r="990" ht="18.75">
      <c r="AS990" s="3"/>
    </row>
    <row r="991" ht="18.75">
      <c r="AS991" s="3"/>
    </row>
    <row r="992" ht="18.75">
      <c r="AS992" s="3"/>
    </row>
    <row r="993" ht="18.75">
      <c r="AS993" s="3"/>
    </row>
    <row r="994" ht="18.75">
      <c r="AS994" s="3"/>
    </row>
    <row r="995" ht="18.75">
      <c r="AS995" s="3"/>
    </row>
    <row r="996" ht="18.75">
      <c r="AS996" s="3"/>
    </row>
    <row r="997" ht="18.75">
      <c r="AS997" s="3"/>
    </row>
    <row r="998" ht="18.75">
      <c r="AS998" s="3"/>
    </row>
    <row r="999" ht="18.75">
      <c r="AS999" s="3"/>
    </row>
    <row r="1000" ht="18.75">
      <c r="AS1000" s="3"/>
    </row>
    <row r="1001" ht="18.75">
      <c r="AS1001" s="3"/>
    </row>
    <row r="1002" ht="18.75">
      <c r="AS1002" s="3"/>
    </row>
    <row r="1003" ht="18.75">
      <c r="AS1003" s="3"/>
    </row>
    <row r="1004" ht="18.75">
      <c r="AS1004" s="3"/>
    </row>
    <row r="1005" ht="18.75">
      <c r="AS1005" s="3"/>
    </row>
    <row r="1006" ht="18.75">
      <c r="AS1006" s="3"/>
    </row>
    <row r="1007" ht="18.75">
      <c r="AS1007" s="3"/>
    </row>
    <row r="1008" ht="18.75">
      <c r="AS1008" s="3"/>
    </row>
    <row r="1009" ht="18.75">
      <c r="AS1009" s="3"/>
    </row>
    <row r="1010" ht="18.75">
      <c r="AS1010" s="3"/>
    </row>
    <row r="1011" ht="18.75">
      <c r="AS1011" s="3"/>
    </row>
    <row r="1012" ht="18.75">
      <c r="AS1012" s="3"/>
    </row>
    <row r="1013" ht="18.75">
      <c r="AS1013" s="3"/>
    </row>
    <row r="1014" ht="18.75">
      <c r="AS1014" s="3"/>
    </row>
    <row r="1015" ht="18.75">
      <c r="AS1015" s="3"/>
    </row>
    <row r="1016" ht="18.75">
      <c r="AS1016" s="3"/>
    </row>
    <row r="1017" ht="18.75">
      <c r="AS1017" s="3"/>
    </row>
    <row r="1018" ht="18.75">
      <c r="AS1018" s="3"/>
    </row>
    <row r="1019" ht="18.75">
      <c r="AS1019" s="3"/>
    </row>
    <row r="1020" ht="18.75">
      <c r="AS1020" s="3"/>
    </row>
    <row r="1021" ht="18.75">
      <c r="AS1021" s="3"/>
    </row>
    <row r="1022" ht="18.75">
      <c r="AS1022" s="3"/>
    </row>
    <row r="1023" ht="18.75">
      <c r="AS1023" s="3"/>
    </row>
    <row r="1024" ht="18.75">
      <c r="AS1024" s="3"/>
    </row>
    <row r="1025" ht="18.75">
      <c r="AS1025" s="3"/>
    </row>
    <row r="1026" ht="18.75">
      <c r="AS1026" s="3"/>
    </row>
    <row r="1027" ht="18.75">
      <c r="AS1027" s="3"/>
    </row>
    <row r="1028" ht="18.75">
      <c r="AS1028" s="3"/>
    </row>
    <row r="1029" ht="18.75">
      <c r="AS1029" s="3"/>
    </row>
    <row r="1030" ht="18.75">
      <c r="AS1030" s="3"/>
    </row>
    <row r="1031" ht="18.75">
      <c r="AS1031" s="3"/>
    </row>
    <row r="1032" ht="18.75">
      <c r="AS1032" s="3"/>
    </row>
    <row r="1033" ht="18.75">
      <c r="AS1033" s="3"/>
    </row>
    <row r="1034" ht="18.75">
      <c r="AS1034" s="3"/>
    </row>
    <row r="1035" ht="18.75">
      <c r="AS1035" s="3"/>
    </row>
    <row r="1036" ht="18.75">
      <c r="AS1036" s="3"/>
    </row>
    <row r="1037" ht="18.75">
      <c r="AS1037" s="3"/>
    </row>
    <row r="1038" ht="18.75">
      <c r="AS1038" s="3"/>
    </row>
    <row r="1039" ht="18.75">
      <c r="AS1039" s="3"/>
    </row>
    <row r="1040" ht="18.75">
      <c r="AS1040" s="3"/>
    </row>
    <row r="1041" ht="18.75">
      <c r="AS1041" s="3"/>
    </row>
    <row r="1042" ht="18.75">
      <c r="AS1042" s="3"/>
    </row>
    <row r="1043" ht="18.75">
      <c r="AS1043" s="3"/>
    </row>
    <row r="1044" ht="18.75">
      <c r="AS1044" s="3"/>
    </row>
    <row r="1045" ht="18.75">
      <c r="AS1045" s="3"/>
    </row>
    <row r="1046" ht="18.75">
      <c r="AS1046" s="3"/>
    </row>
    <row r="1047" ht="18.75">
      <c r="AS1047" s="3"/>
    </row>
    <row r="1048" ht="18.75">
      <c r="AS1048" s="3"/>
    </row>
    <row r="1049" ht="18.75">
      <c r="AS1049" s="3"/>
    </row>
    <row r="1050" ht="18.75">
      <c r="AS1050" s="3"/>
    </row>
    <row r="1051" ht="18.75">
      <c r="AS1051" s="3"/>
    </row>
    <row r="1052" ht="18.75">
      <c r="AS1052" s="3"/>
    </row>
    <row r="1053" ht="18.75">
      <c r="AS1053" s="3"/>
    </row>
    <row r="1054" ht="18.75">
      <c r="AS1054" s="3"/>
    </row>
    <row r="1055" ht="18.75">
      <c r="AS1055" s="3"/>
    </row>
    <row r="1056" ht="18.75">
      <c r="AS1056" s="3"/>
    </row>
    <row r="1057" ht="18.75">
      <c r="AS1057" s="3"/>
    </row>
    <row r="1058" ht="18.75">
      <c r="AS1058" s="3"/>
    </row>
    <row r="1059" ht="18.75">
      <c r="AS1059" s="3"/>
    </row>
    <row r="1060" ht="18.75">
      <c r="AS1060" s="3"/>
    </row>
    <row r="1061" ht="18.75">
      <c r="AS1061" s="3"/>
    </row>
    <row r="1062" ht="18.75">
      <c r="AS1062" s="3"/>
    </row>
    <row r="1063" ht="18.75">
      <c r="AS1063" s="3"/>
    </row>
    <row r="1064" ht="18.75">
      <c r="AS1064" s="3"/>
    </row>
    <row r="1065" ht="18.75">
      <c r="AS1065" s="3"/>
    </row>
    <row r="1066" ht="18.75">
      <c r="AS1066" s="3"/>
    </row>
    <row r="1067" ht="18.75">
      <c r="AS1067" s="3"/>
    </row>
    <row r="1068" ht="18.75">
      <c r="AS1068" s="3"/>
    </row>
    <row r="1069" ht="18.75">
      <c r="AS1069" s="3"/>
    </row>
    <row r="1070" ht="18.75">
      <c r="AS1070" s="3"/>
    </row>
    <row r="1071" ht="18.75">
      <c r="AS1071" s="3"/>
    </row>
    <row r="1072" ht="18.75">
      <c r="AS1072" s="3"/>
    </row>
    <row r="1073" ht="18.75">
      <c r="AS1073" s="3"/>
    </row>
    <row r="1074" ht="18.75">
      <c r="AS1074" s="3"/>
    </row>
    <row r="1075" ht="18.75">
      <c r="AS1075" s="3"/>
    </row>
    <row r="1076" ht="18.75">
      <c r="AS1076" s="3"/>
    </row>
    <row r="1077" ht="18.75">
      <c r="AS1077" s="3"/>
    </row>
    <row r="1078" ht="18.75">
      <c r="AS1078" s="3"/>
    </row>
    <row r="1079" ht="18.75">
      <c r="AS1079" s="3"/>
    </row>
    <row r="1080" ht="18.75">
      <c r="AS1080" s="3"/>
    </row>
    <row r="1081" ht="18.75">
      <c r="AS1081" s="3"/>
    </row>
    <row r="1082" ht="18.75">
      <c r="AS1082" s="3"/>
    </row>
    <row r="1083" ht="18.75">
      <c r="AS1083" s="3"/>
    </row>
    <row r="1084" ht="18.75">
      <c r="AS1084" s="3"/>
    </row>
    <row r="1085" ht="18.75">
      <c r="AS1085" s="3"/>
    </row>
    <row r="1086" ht="18.75">
      <c r="AS1086" s="3"/>
    </row>
    <row r="1087" ht="18.75">
      <c r="AS1087" s="3"/>
    </row>
    <row r="1088" ht="18.75">
      <c r="AS1088" s="3"/>
    </row>
    <row r="1089" ht="18.75">
      <c r="AS1089" s="3"/>
    </row>
    <row r="1090" ht="18.75">
      <c r="AS1090" s="3"/>
    </row>
    <row r="1091" ht="18.75">
      <c r="AS1091" s="3"/>
    </row>
    <row r="1092" ht="18.75">
      <c r="AS1092" s="3"/>
    </row>
    <row r="1093" ht="18.75">
      <c r="AS1093" s="3"/>
    </row>
    <row r="1094" ht="18.75">
      <c r="AS1094" s="3"/>
    </row>
    <row r="1095" ht="18.75">
      <c r="AS1095" s="3"/>
    </row>
    <row r="1096" ht="18.75">
      <c r="AS1096" s="3"/>
    </row>
    <row r="1097" ht="18.75">
      <c r="AS1097" s="3"/>
    </row>
    <row r="1098" ht="18.75">
      <c r="AS1098" s="3"/>
    </row>
    <row r="1099" ht="18.75">
      <c r="AS1099" s="3"/>
    </row>
    <row r="1100" ht="18.75">
      <c r="AS1100" s="3"/>
    </row>
    <row r="1101" ht="18.75">
      <c r="AS1101" s="3"/>
    </row>
    <row r="1102" ht="18.75">
      <c r="AS1102" s="3"/>
    </row>
    <row r="1103" ht="18.75">
      <c r="AS1103" s="3"/>
    </row>
    <row r="1104" ht="18.75">
      <c r="AS1104" s="3"/>
    </row>
    <row r="1105" ht="18.75">
      <c r="AS1105" s="3"/>
    </row>
    <row r="1106" ht="18.75">
      <c r="AS1106" s="3"/>
    </row>
    <row r="1107" ht="18.75">
      <c r="AS1107" s="3"/>
    </row>
    <row r="1108" ht="18.75">
      <c r="AS1108" s="3"/>
    </row>
    <row r="1109" ht="18.75">
      <c r="AS1109" s="3"/>
    </row>
    <row r="1110" ht="18.75">
      <c r="AS1110" s="3"/>
    </row>
    <row r="1111" ht="18.75">
      <c r="AS1111" s="3"/>
    </row>
    <row r="1112" ht="18.75">
      <c r="AS1112" s="3"/>
    </row>
    <row r="1113" ht="18.75">
      <c r="AS1113" s="3"/>
    </row>
    <row r="1114" ht="18.75">
      <c r="AS1114" s="3"/>
    </row>
    <row r="1115" ht="18.75">
      <c r="AS1115" s="3"/>
    </row>
    <row r="1116" ht="18.75">
      <c r="AS1116" s="3"/>
    </row>
    <row r="1117" ht="18.75">
      <c r="AS1117" s="3"/>
    </row>
    <row r="1118" ht="18.75">
      <c r="AS1118" s="3"/>
    </row>
    <row r="1119" ht="18.75">
      <c r="AS1119" s="3"/>
    </row>
    <row r="1120" ht="18.75">
      <c r="AS1120" s="3"/>
    </row>
    <row r="1121" ht="18.75">
      <c r="AS1121" s="3"/>
    </row>
    <row r="1122" ht="18.75">
      <c r="AS1122" s="3"/>
    </row>
    <row r="1123" ht="18.75">
      <c r="AS1123" s="3"/>
    </row>
    <row r="1124" ht="18.75">
      <c r="AS1124" s="3"/>
    </row>
    <row r="1125" ht="18.75">
      <c r="AS1125" s="3"/>
    </row>
    <row r="1126" ht="18.75">
      <c r="AS1126" s="3"/>
    </row>
    <row r="1127" ht="18.75">
      <c r="AS1127" s="3"/>
    </row>
    <row r="1128" ht="18.75">
      <c r="AS1128" s="3"/>
    </row>
    <row r="1129" ht="18.75">
      <c r="AS1129" s="3"/>
    </row>
    <row r="1130" ht="18.75">
      <c r="AS1130" s="3"/>
    </row>
    <row r="1131" ht="18.75">
      <c r="AS1131" s="3"/>
    </row>
    <row r="1132" ht="18.75">
      <c r="AS1132" s="3"/>
    </row>
    <row r="1133" ht="18.75">
      <c r="AS1133" s="3"/>
    </row>
    <row r="1134" ht="18.75">
      <c r="AS1134" s="3"/>
    </row>
    <row r="1135" ht="18.75">
      <c r="AS1135" s="3"/>
    </row>
    <row r="1136" ht="18.75">
      <c r="AS1136" s="3"/>
    </row>
    <row r="1137" ht="18.75">
      <c r="AS1137" s="3"/>
    </row>
    <row r="1138" ht="18.75">
      <c r="AS1138" s="3"/>
    </row>
    <row r="1139" ht="18.75">
      <c r="AS1139" s="3"/>
    </row>
    <row r="1140" ht="18.75">
      <c r="AS1140" s="3"/>
    </row>
    <row r="1141" ht="18.75">
      <c r="AS1141" s="3"/>
    </row>
    <row r="1142" ht="18.75">
      <c r="AS1142" s="3"/>
    </row>
    <row r="1143" ht="18.75">
      <c r="AS1143" s="3"/>
    </row>
    <row r="1144" ht="18.75">
      <c r="AS1144" s="3"/>
    </row>
    <row r="1145" ht="18.75">
      <c r="AS1145" s="3"/>
    </row>
    <row r="1146" ht="18.75">
      <c r="AS1146" s="3"/>
    </row>
    <row r="1147" ht="18.75">
      <c r="AS1147" s="3"/>
    </row>
    <row r="1148" ht="18.75">
      <c r="AS1148" s="3"/>
    </row>
    <row r="1149" ht="18.75">
      <c r="AS1149" s="3"/>
    </row>
    <row r="1150" ht="18.75">
      <c r="AS1150" s="3"/>
    </row>
    <row r="1151" ht="18.75">
      <c r="AS1151" s="3"/>
    </row>
    <row r="1152" ht="18.75">
      <c r="AS1152" s="3"/>
    </row>
    <row r="1153" ht="18.75">
      <c r="AS1153" s="3"/>
    </row>
    <row r="1154" ht="18.75">
      <c r="AS1154" s="3"/>
    </row>
    <row r="1155" ht="18.75">
      <c r="AS1155" s="3"/>
    </row>
    <row r="1156" ht="18.75">
      <c r="AS1156" s="3"/>
    </row>
    <row r="1157" ht="18.75">
      <c r="AS1157" s="3"/>
    </row>
    <row r="1158" ht="18.75">
      <c r="AS1158" s="3"/>
    </row>
    <row r="1159" ht="18.75">
      <c r="AS1159" s="3"/>
    </row>
    <row r="1160" ht="18.75">
      <c r="AS1160" s="3"/>
    </row>
    <row r="1161" ht="18.75">
      <c r="AS1161" s="3"/>
    </row>
    <row r="1162" ht="18.75">
      <c r="AS1162" s="3"/>
    </row>
    <row r="1163" ht="18.75">
      <c r="AS1163" s="3"/>
    </row>
    <row r="1164" ht="18.75">
      <c r="AS1164" s="3"/>
    </row>
    <row r="1165" ht="18.75">
      <c r="AS1165" s="3"/>
    </row>
    <row r="1166" ht="18.75">
      <c r="AS1166" s="3"/>
    </row>
    <row r="1167" ht="18.75">
      <c r="AS1167" s="3"/>
    </row>
    <row r="1168" ht="18.75">
      <c r="AS1168" s="3"/>
    </row>
    <row r="1169" ht="18.75">
      <c r="AS1169" s="3"/>
    </row>
    <row r="1170" ht="18.75">
      <c r="AS1170" s="3"/>
    </row>
    <row r="1171" ht="18.75">
      <c r="AS1171" s="3"/>
    </row>
    <row r="1172" ht="18.75">
      <c r="AS1172" s="3"/>
    </row>
    <row r="1173" ht="18.75">
      <c r="AS1173" s="3"/>
    </row>
    <row r="1174" ht="18.75">
      <c r="AS1174" s="3"/>
    </row>
    <row r="1175" ht="18.75">
      <c r="AS1175" s="3"/>
    </row>
    <row r="1176" ht="18.75">
      <c r="AS1176" s="3"/>
    </row>
    <row r="1177" ht="18.75">
      <c r="AS1177" s="3"/>
    </row>
    <row r="1178" ht="18.75">
      <c r="AS1178" s="3"/>
    </row>
    <row r="1179" ht="18.75">
      <c r="AS1179" s="3"/>
    </row>
    <row r="1180" ht="18.75">
      <c r="AS1180" s="3"/>
    </row>
    <row r="1181" ht="18.75">
      <c r="AS1181" s="3"/>
    </row>
    <row r="1182" ht="18.75">
      <c r="AS1182" s="3"/>
    </row>
    <row r="1183" ht="18.75">
      <c r="AS1183" s="3"/>
    </row>
    <row r="1184" ht="18.75">
      <c r="AS1184" s="3"/>
    </row>
    <row r="1185" ht="18.75">
      <c r="AS1185" s="3"/>
    </row>
    <row r="1186" ht="18.75">
      <c r="AS1186" s="3"/>
    </row>
    <row r="1187" ht="18.75">
      <c r="AS1187" s="3"/>
    </row>
    <row r="1188" ht="18.75">
      <c r="AS1188" s="3"/>
    </row>
    <row r="1189" ht="18.75">
      <c r="AS1189" s="3"/>
    </row>
    <row r="1190" ht="18.75">
      <c r="AS1190" s="3"/>
    </row>
    <row r="1191" ht="18.75">
      <c r="AS1191" s="3"/>
    </row>
    <row r="1192" ht="18.75">
      <c r="AS1192" s="3"/>
    </row>
    <row r="1193" ht="18.75">
      <c r="AS1193" s="3"/>
    </row>
    <row r="1194" ht="18.75">
      <c r="AS1194" s="3"/>
    </row>
    <row r="1195" ht="18.75">
      <c r="AS1195" s="3"/>
    </row>
    <row r="1196" ht="18.75">
      <c r="AS1196" s="3"/>
    </row>
    <row r="1197" ht="18.75">
      <c r="AS1197" s="3"/>
    </row>
    <row r="1198" ht="18.75">
      <c r="AS1198" s="3"/>
    </row>
    <row r="1199" ht="18.75">
      <c r="AS1199" s="3"/>
    </row>
    <row r="1200" ht="18.75">
      <c r="AS1200" s="3"/>
    </row>
    <row r="1201" ht="18.75">
      <c r="AS1201" s="3"/>
    </row>
    <row r="1202" ht="18.75">
      <c r="AS1202" s="3"/>
    </row>
    <row r="1203" ht="18.75">
      <c r="AS1203" s="3"/>
    </row>
    <row r="1204" ht="18.75">
      <c r="AS1204" s="3"/>
    </row>
    <row r="1205" ht="18.75">
      <c r="AS1205" s="3"/>
    </row>
    <row r="1206" ht="18.75">
      <c r="AS1206" s="3"/>
    </row>
    <row r="1207" ht="18.75">
      <c r="AS1207" s="3"/>
    </row>
    <row r="1208" ht="18.75">
      <c r="AS1208" s="3"/>
    </row>
    <row r="1209" ht="18.75">
      <c r="AS1209" s="3"/>
    </row>
    <row r="1210" ht="18.75">
      <c r="AS1210" s="3"/>
    </row>
    <row r="1211" ht="18.75">
      <c r="AS1211" s="3"/>
    </row>
    <row r="1212" ht="18.75">
      <c r="AS1212" s="3"/>
    </row>
    <row r="1213" ht="18.75">
      <c r="AS1213" s="3"/>
    </row>
    <row r="1214" ht="18.75">
      <c r="AS1214" s="3"/>
    </row>
    <row r="1215" ht="18.75">
      <c r="AS1215" s="3"/>
    </row>
    <row r="1216" ht="18.75">
      <c r="AS1216" s="3"/>
    </row>
    <row r="1217" ht="18.75">
      <c r="AS1217" s="3"/>
    </row>
    <row r="1218" ht="18.75">
      <c r="AS1218" s="3"/>
    </row>
    <row r="1219" ht="18.75">
      <c r="AS1219" s="3"/>
    </row>
    <row r="1220" ht="18.75">
      <c r="AS1220" s="3"/>
    </row>
    <row r="1221" ht="18.75">
      <c r="AS1221" s="3"/>
    </row>
    <row r="1222" ht="18.75">
      <c r="AS1222" s="3"/>
    </row>
    <row r="1223" ht="18.75">
      <c r="AS1223" s="3"/>
    </row>
    <row r="1224" ht="18.75">
      <c r="AS1224" s="3"/>
    </row>
    <row r="1225" ht="18.75">
      <c r="AS1225" s="3"/>
    </row>
    <row r="1226" ht="18.75">
      <c r="AS1226" s="3"/>
    </row>
    <row r="1227" ht="18.75">
      <c r="AS1227" s="3"/>
    </row>
    <row r="1228" ht="18.75">
      <c r="AS1228" s="3"/>
    </row>
    <row r="1229" ht="18.75">
      <c r="AS1229" s="3"/>
    </row>
    <row r="1230" ht="18.75">
      <c r="AS1230" s="3"/>
    </row>
    <row r="1231" ht="18.75">
      <c r="AS1231" s="3"/>
    </row>
    <row r="1232" ht="18.75">
      <c r="AS1232" s="3"/>
    </row>
    <row r="1233" ht="18.75">
      <c r="AS1233" s="3"/>
    </row>
    <row r="1234" ht="18.75">
      <c r="AS1234" s="3"/>
    </row>
    <row r="1235" ht="18.75">
      <c r="AS1235" s="3"/>
    </row>
    <row r="1236" ht="18.75">
      <c r="AS1236" s="3"/>
    </row>
    <row r="1237" ht="18.75">
      <c r="AS1237" s="3"/>
    </row>
    <row r="1238" ht="18.75">
      <c r="AS1238" s="3"/>
    </row>
    <row r="1239" ht="18.75">
      <c r="AS1239" s="3"/>
    </row>
    <row r="1240" ht="18.75">
      <c r="AS1240" s="3"/>
    </row>
    <row r="1241" ht="18.75">
      <c r="AS1241" s="3"/>
    </row>
    <row r="1242" ht="18.75">
      <c r="AS1242" s="3"/>
    </row>
    <row r="1243" ht="18.75">
      <c r="AS1243" s="3"/>
    </row>
    <row r="1244" ht="18.75">
      <c r="AS1244" s="3"/>
    </row>
    <row r="1245" ht="18.75">
      <c r="AS1245" s="3"/>
    </row>
    <row r="1246" ht="18.75">
      <c r="AS1246" s="3"/>
    </row>
    <row r="1247" ht="18.75">
      <c r="AS1247" s="3"/>
    </row>
    <row r="1248" ht="18.75">
      <c r="AS1248" s="3"/>
    </row>
    <row r="1249" ht="18.75">
      <c r="AS1249" s="3"/>
    </row>
    <row r="1250" ht="18.75">
      <c r="AS1250" s="3"/>
    </row>
    <row r="1251" ht="18.75">
      <c r="AS1251" s="3"/>
    </row>
    <row r="1252" ht="18.75">
      <c r="AS1252" s="3"/>
    </row>
    <row r="1253" ht="18.75">
      <c r="AS1253" s="3"/>
    </row>
    <row r="1254" ht="18.75">
      <c r="AS1254" s="3"/>
    </row>
    <row r="1255" ht="18.75">
      <c r="AS1255" s="3"/>
    </row>
    <row r="1256" ht="18.75">
      <c r="AS1256" s="3"/>
    </row>
    <row r="1257" ht="18.75">
      <c r="AS1257" s="3"/>
    </row>
    <row r="1258" ht="18.75">
      <c r="AS1258" s="3"/>
    </row>
    <row r="1259" ht="18.75">
      <c r="AS1259" s="3"/>
    </row>
    <row r="1260" ht="18.75">
      <c r="AS1260" s="3"/>
    </row>
    <row r="1261" ht="18.75">
      <c r="AS1261" s="3"/>
    </row>
    <row r="1262" ht="18.75">
      <c r="AS1262" s="3"/>
    </row>
    <row r="1263" ht="18.75">
      <c r="AS1263" s="3"/>
    </row>
    <row r="1264" ht="18.75">
      <c r="AS1264" s="3"/>
    </row>
    <row r="1265" ht="18.75">
      <c r="AS1265" s="3"/>
    </row>
    <row r="1266" ht="18.75">
      <c r="AS1266" s="3"/>
    </row>
    <row r="1267" ht="18.75">
      <c r="AS1267" s="3"/>
    </row>
    <row r="1268" ht="18.75">
      <c r="AS1268" s="3"/>
    </row>
    <row r="1269" ht="18.75">
      <c r="AS1269" s="3"/>
    </row>
    <row r="1270" ht="18.75">
      <c r="AS1270" s="3"/>
    </row>
    <row r="1271" ht="18.75">
      <c r="AS1271" s="3"/>
    </row>
    <row r="1272" ht="18.75">
      <c r="AS1272" s="3"/>
    </row>
    <row r="1273" ht="18.75">
      <c r="AS1273" s="3"/>
    </row>
    <row r="1274" ht="18.75">
      <c r="AS1274" s="3"/>
    </row>
    <row r="1275" ht="18.75">
      <c r="AS1275" s="3"/>
    </row>
    <row r="1276" ht="18.75">
      <c r="AS1276" s="3"/>
    </row>
    <row r="1277" ht="18.75">
      <c r="AS1277" s="3"/>
    </row>
    <row r="1278" ht="18.75">
      <c r="AS1278" s="3"/>
    </row>
    <row r="1279" ht="18.75">
      <c r="AS1279" s="3"/>
    </row>
    <row r="1280" ht="18.75">
      <c r="AS1280" s="3"/>
    </row>
    <row r="1281" ht="18.75">
      <c r="AS1281" s="3"/>
    </row>
    <row r="1282" ht="18.75">
      <c r="AS1282" s="3"/>
    </row>
    <row r="1283" ht="18.75">
      <c r="AS1283" s="3"/>
    </row>
    <row r="1284" ht="18.75">
      <c r="AS1284" s="3"/>
    </row>
    <row r="1285" ht="18.75">
      <c r="AS1285" s="3"/>
    </row>
    <row r="1286" ht="18.75">
      <c r="AS1286" s="3"/>
    </row>
    <row r="1287" ht="18.75">
      <c r="AS1287" s="3"/>
    </row>
    <row r="1288" ht="18.75">
      <c r="AS1288" s="3"/>
    </row>
    <row r="1289" ht="18.75">
      <c r="AS1289" s="3"/>
    </row>
    <row r="1290" ht="18.75">
      <c r="AS1290" s="3"/>
    </row>
    <row r="1291" ht="18.75">
      <c r="AS1291" s="3"/>
    </row>
    <row r="1292" ht="18.75">
      <c r="AS1292" s="3"/>
    </row>
    <row r="1293" ht="18.75">
      <c r="AS1293" s="3"/>
    </row>
    <row r="1294" ht="18.75">
      <c r="AS1294" s="3"/>
    </row>
    <row r="1295" ht="18.75">
      <c r="AS1295" s="3"/>
    </row>
    <row r="1296" ht="18.75">
      <c r="AS1296" s="3"/>
    </row>
    <row r="1297" ht="18.75">
      <c r="AS1297" s="3"/>
    </row>
    <row r="1298" ht="18.75">
      <c r="AS1298" s="3"/>
    </row>
    <row r="1299" ht="18.75">
      <c r="AS1299" s="3"/>
    </row>
    <row r="1300" ht="18.75">
      <c r="AS1300" s="3"/>
    </row>
    <row r="1301" ht="18.75">
      <c r="AS1301" s="3"/>
    </row>
    <row r="1302" ht="18.75">
      <c r="AS1302" s="3"/>
    </row>
    <row r="1303" ht="18.75">
      <c r="AS1303" s="3"/>
    </row>
    <row r="1304" ht="18.75">
      <c r="AS1304" s="3"/>
    </row>
    <row r="1305" ht="18.75">
      <c r="AS1305" s="3"/>
    </row>
    <row r="1306" ht="18.75">
      <c r="AS1306" s="3"/>
    </row>
    <row r="1307" ht="18.75">
      <c r="AS1307" s="3"/>
    </row>
    <row r="1308" ht="18.75">
      <c r="AS1308" s="3"/>
    </row>
    <row r="1309" ht="18.75">
      <c r="AS1309" s="3"/>
    </row>
    <row r="1310" ht="18.75">
      <c r="AS1310" s="3"/>
    </row>
    <row r="1311" ht="18.75">
      <c r="AS1311" s="3"/>
    </row>
    <row r="1312" ht="18.75">
      <c r="AS1312" s="3"/>
    </row>
    <row r="1313" ht="18.75">
      <c r="AS1313" s="3"/>
    </row>
    <row r="1314" ht="18.75">
      <c r="AS1314" s="3"/>
    </row>
    <row r="1315" ht="18.75">
      <c r="AS1315" s="3"/>
    </row>
    <row r="1316" ht="18.75">
      <c r="AS1316" s="3"/>
    </row>
    <row r="1317" ht="18.75">
      <c r="AS1317" s="3"/>
    </row>
    <row r="1318" ht="18.75">
      <c r="AS1318" s="3"/>
    </row>
    <row r="1319" ht="18.75">
      <c r="AS1319" s="3"/>
    </row>
    <row r="1320" ht="18.75">
      <c r="AS1320" s="3"/>
    </row>
    <row r="1321" ht="18.75">
      <c r="AS1321" s="3"/>
    </row>
    <row r="1322" ht="18.75">
      <c r="AS1322" s="3"/>
    </row>
    <row r="1323" ht="18.75">
      <c r="AS1323" s="3"/>
    </row>
    <row r="1324" ht="18.75">
      <c r="AS1324" s="3"/>
    </row>
    <row r="1325" ht="18.75">
      <c r="AS1325" s="3"/>
    </row>
    <row r="1326" ht="18.75">
      <c r="AS1326" s="3"/>
    </row>
    <row r="1327" ht="18.75">
      <c r="AS1327" s="3"/>
    </row>
    <row r="1328" ht="18.75">
      <c r="AS1328" s="3"/>
    </row>
    <row r="1329" ht="18.75">
      <c r="AS1329" s="3"/>
    </row>
    <row r="1330" ht="18.75">
      <c r="AS1330" s="3"/>
    </row>
    <row r="1331" ht="18.75">
      <c r="AS1331" s="3"/>
    </row>
    <row r="1332" ht="18.75">
      <c r="AS1332" s="3"/>
    </row>
    <row r="1333" ht="18.75">
      <c r="AS1333" s="3"/>
    </row>
    <row r="1334" ht="18.75">
      <c r="AS1334" s="3"/>
    </row>
    <row r="1335" ht="18.75">
      <c r="AS1335" s="3"/>
    </row>
    <row r="1336" ht="18.75">
      <c r="AS1336" s="3"/>
    </row>
    <row r="1337" ht="18.75">
      <c r="AS1337" s="3"/>
    </row>
    <row r="1338" ht="18.75">
      <c r="AS1338" s="3"/>
    </row>
    <row r="1339" ht="18.75">
      <c r="AS1339" s="3"/>
    </row>
    <row r="1340" ht="18.75">
      <c r="AS1340" s="3"/>
    </row>
    <row r="1341" ht="18.75">
      <c r="AS1341" s="3"/>
    </row>
    <row r="1342" ht="18.75">
      <c r="AS1342" s="3"/>
    </row>
    <row r="1343" ht="18.75">
      <c r="AS1343" s="3"/>
    </row>
    <row r="1344" ht="18.75">
      <c r="AS1344" s="3"/>
    </row>
    <row r="1345" ht="18.75">
      <c r="AS1345" s="3"/>
    </row>
    <row r="1346" ht="18.75">
      <c r="AS1346" s="3"/>
    </row>
    <row r="1347" ht="18.75">
      <c r="AS1347" s="3"/>
    </row>
    <row r="1348" ht="18.75">
      <c r="AS1348" s="3"/>
    </row>
    <row r="1349" ht="18.75">
      <c r="AS1349" s="3"/>
    </row>
    <row r="1350" ht="18.75">
      <c r="AS1350" s="3"/>
    </row>
    <row r="1351" ht="18.75">
      <c r="AS1351" s="3"/>
    </row>
    <row r="1352" ht="18.75">
      <c r="AS1352" s="3"/>
    </row>
    <row r="1353" ht="18.75">
      <c r="AS1353" s="3"/>
    </row>
    <row r="1354" ht="18.75">
      <c r="AS1354" s="3"/>
    </row>
    <row r="1355" ht="18.75">
      <c r="AS1355" s="3"/>
    </row>
    <row r="1356" ht="18.75">
      <c r="AS1356" s="3"/>
    </row>
    <row r="1357" ht="18.75">
      <c r="AS1357" s="3"/>
    </row>
    <row r="1358" ht="18.75">
      <c r="AS1358" s="3"/>
    </row>
    <row r="1359" ht="18.75">
      <c r="AS1359" s="3"/>
    </row>
    <row r="1360" ht="18.75">
      <c r="AS1360" s="3"/>
    </row>
    <row r="1361" ht="18.75">
      <c r="AS1361" s="3"/>
    </row>
    <row r="1362" ht="18.75">
      <c r="AS1362" s="3"/>
    </row>
    <row r="1363" ht="18.75">
      <c r="AS1363" s="3"/>
    </row>
    <row r="1364" ht="18.75">
      <c r="AS1364" s="3"/>
    </row>
    <row r="1365" ht="18.75">
      <c r="AS1365" s="3"/>
    </row>
    <row r="1366" ht="18.75">
      <c r="AS1366" s="3"/>
    </row>
    <row r="1367" ht="18.75">
      <c r="AS1367" s="3"/>
    </row>
    <row r="1368" ht="18.75">
      <c r="AS1368" s="3"/>
    </row>
    <row r="1369" ht="18.75">
      <c r="AS1369" s="3"/>
    </row>
    <row r="1370" ht="18.75">
      <c r="AS1370" s="3"/>
    </row>
    <row r="1371" ht="18.75">
      <c r="AS1371" s="3"/>
    </row>
    <row r="1372" ht="18.75">
      <c r="AS1372" s="3"/>
    </row>
    <row r="1373" ht="18.75">
      <c r="AS1373" s="3"/>
    </row>
    <row r="1374" ht="18.75">
      <c r="AS1374" s="3"/>
    </row>
    <row r="1375" ht="18.75">
      <c r="AS1375" s="3"/>
    </row>
    <row r="1376" ht="18.75">
      <c r="AS1376" s="3"/>
    </row>
    <row r="1377" ht="18.75">
      <c r="AS1377" s="3"/>
    </row>
    <row r="1378" ht="18.75">
      <c r="AS1378" s="3"/>
    </row>
    <row r="1379" ht="18.75">
      <c r="AS1379" s="3"/>
    </row>
    <row r="1380" ht="18.75">
      <c r="AS1380" s="3"/>
    </row>
    <row r="1381" ht="18.75">
      <c r="AS1381" s="3"/>
    </row>
    <row r="1382" ht="18.75">
      <c r="AS1382" s="3"/>
    </row>
    <row r="1383" ht="18.75">
      <c r="AS1383" s="3"/>
    </row>
    <row r="1384" ht="18.75">
      <c r="AS1384" s="3"/>
    </row>
    <row r="1385" ht="18.75">
      <c r="AS1385" s="3"/>
    </row>
    <row r="1386" ht="18.75">
      <c r="AS1386" s="3"/>
    </row>
    <row r="1387" ht="18.75">
      <c r="AS1387" s="3"/>
    </row>
    <row r="1388" ht="18.75">
      <c r="AS1388" s="3"/>
    </row>
    <row r="1389" ht="18.75">
      <c r="AS1389" s="3"/>
    </row>
    <row r="1390" ht="18.75">
      <c r="AS1390" s="3"/>
    </row>
    <row r="1391" ht="18.75">
      <c r="AS1391" s="3"/>
    </row>
    <row r="1392" ht="18.75">
      <c r="AS1392" s="3"/>
    </row>
    <row r="1393" ht="18.75">
      <c r="AS1393" s="3"/>
    </row>
    <row r="1394" ht="18.75">
      <c r="AS1394" s="3"/>
    </row>
    <row r="1395" ht="18.75">
      <c r="AS1395" s="3"/>
    </row>
    <row r="1396" ht="18.75">
      <c r="AS1396" s="3"/>
    </row>
    <row r="1397" ht="18.75">
      <c r="AS1397" s="3"/>
    </row>
    <row r="1398" ht="18.75">
      <c r="AS1398" s="3"/>
    </row>
    <row r="1399" ht="18.75">
      <c r="AS1399" s="3"/>
    </row>
    <row r="1400" ht="18.75">
      <c r="AS1400" s="3"/>
    </row>
    <row r="1401" ht="18.75">
      <c r="AS1401" s="3"/>
    </row>
    <row r="1402" ht="18.75">
      <c r="AS1402" s="3"/>
    </row>
    <row r="1403" ht="18.75">
      <c r="AS1403" s="3"/>
    </row>
    <row r="1404" ht="18.75">
      <c r="AS1404" s="3"/>
    </row>
    <row r="1405" ht="18.75">
      <c r="AS1405" s="3"/>
    </row>
    <row r="1406" ht="18.75">
      <c r="AS1406" s="3"/>
    </row>
    <row r="1407" ht="18.75">
      <c r="AS1407" s="3"/>
    </row>
    <row r="1408" ht="18.75">
      <c r="AS1408" s="3"/>
    </row>
    <row r="1409" ht="18.75">
      <c r="AS1409" s="3"/>
    </row>
    <row r="1410" ht="18.75">
      <c r="AS1410" s="3"/>
    </row>
    <row r="1411" ht="18.75">
      <c r="AS1411" s="3"/>
    </row>
    <row r="1412" ht="18.75">
      <c r="AS1412" s="3"/>
    </row>
    <row r="1413" ht="18.75">
      <c r="AS1413" s="3"/>
    </row>
    <row r="1414" ht="18.75">
      <c r="AS1414" s="3"/>
    </row>
    <row r="1415" ht="18.75">
      <c r="AS1415" s="3"/>
    </row>
    <row r="1416" ht="18.75">
      <c r="AS1416" s="3"/>
    </row>
    <row r="1417" ht="18.75">
      <c r="AS1417" s="3"/>
    </row>
    <row r="1418" ht="18.75">
      <c r="AS1418" s="3"/>
    </row>
    <row r="1419" ht="18.75">
      <c r="AS1419" s="3"/>
    </row>
    <row r="1420" ht="18.75">
      <c r="AS1420" s="3"/>
    </row>
    <row r="1421" ht="18.75">
      <c r="AS1421" s="3"/>
    </row>
    <row r="1422" ht="18.75">
      <c r="AS1422" s="3"/>
    </row>
    <row r="1423" ht="18.75">
      <c r="AS1423" s="3"/>
    </row>
    <row r="1424" ht="18.75">
      <c r="AS1424" s="3"/>
    </row>
    <row r="1425" ht="18.75">
      <c r="AS1425" s="3"/>
    </row>
    <row r="1426" ht="18.75">
      <c r="AS1426" s="3"/>
    </row>
    <row r="1427" ht="18.75">
      <c r="AS1427" s="3"/>
    </row>
    <row r="1428" ht="18.75">
      <c r="AS1428" s="3"/>
    </row>
    <row r="1429" ht="18.75">
      <c r="AS1429" s="3"/>
    </row>
    <row r="1430" ht="18.75">
      <c r="AS1430" s="3"/>
    </row>
    <row r="1431" ht="18.75">
      <c r="AS1431" s="3"/>
    </row>
    <row r="1432" ht="18.75">
      <c r="AS1432" s="3"/>
    </row>
    <row r="1433" ht="18.75">
      <c r="AS1433" s="3"/>
    </row>
    <row r="1434" ht="18.75">
      <c r="AS1434" s="3"/>
    </row>
    <row r="1435" ht="18.75">
      <c r="AS1435" s="3"/>
    </row>
    <row r="1436" ht="18.75">
      <c r="AS1436" s="3"/>
    </row>
    <row r="1437" ht="18.75">
      <c r="AS1437" s="3"/>
    </row>
    <row r="1438" ht="18.75">
      <c r="AS1438" s="3"/>
    </row>
    <row r="1439" ht="18.75">
      <c r="AS1439" s="3"/>
    </row>
    <row r="1440" ht="18.75">
      <c r="AS1440" s="3"/>
    </row>
    <row r="1441" ht="18.75">
      <c r="AS1441" s="3"/>
    </row>
    <row r="1442" ht="18.75">
      <c r="AS1442" s="3"/>
    </row>
    <row r="1443" ht="18.75">
      <c r="AS1443" s="3"/>
    </row>
    <row r="1444" ht="18.75">
      <c r="AS1444" s="3"/>
    </row>
    <row r="1445" ht="18.75">
      <c r="AS1445" s="3"/>
    </row>
    <row r="1446" ht="18.75">
      <c r="AS1446" s="3"/>
    </row>
    <row r="1447" ht="18.75">
      <c r="AS1447" s="3"/>
    </row>
    <row r="1448" ht="18.75">
      <c r="AS1448" s="3"/>
    </row>
    <row r="1449" ht="18.75">
      <c r="AS1449" s="3"/>
    </row>
    <row r="1450" ht="18.75">
      <c r="AS1450" s="3"/>
    </row>
    <row r="1451" ht="18.75">
      <c r="AS1451" s="3"/>
    </row>
    <row r="1452" ht="18.75">
      <c r="AS1452" s="3"/>
    </row>
    <row r="1453" ht="18.75">
      <c r="AS1453" s="3"/>
    </row>
    <row r="1454" ht="18.75">
      <c r="AS1454" s="3"/>
    </row>
    <row r="1455" ht="18.75">
      <c r="AS1455" s="3"/>
    </row>
    <row r="1456" ht="18.75">
      <c r="AS1456" s="3"/>
    </row>
    <row r="1457" ht="18.75">
      <c r="AS1457" s="3"/>
    </row>
    <row r="1458" ht="18.75">
      <c r="AS1458" s="3"/>
    </row>
    <row r="1459" ht="18.75">
      <c r="AS1459" s="3"/>
    </row>
    <row r="1460" ht="18.75">
      <c r="AS1460" s="3"/>
    </row>
    <row r="1461" ht="18.75">
      <c r="AS1461" s="3"/>
    </row>
    <row r="1462" ht="18.75">
      <c r="AS1462" s="3"/>
    </row>
    <row r="1463" ht="18.75">
      <c r="AS1463" s="3"/>
    </row>
    <row r="1464" ht="18.75">
      <c r="AS1464" s="3"/>
    </row>
    <row r="1465" ht="18.75">
      <c r="AS1465" s="3"/>
    </row>
    <row r="1466" ht="18.75">
      <c r="AS1466" s="3"/>
    </row>
    <row r="1467" ht="18.75">
      <c r="AS1467" s="3"/>
    </row>
    <row r="1468" ht="18.75">
      <c r="AS1468" s="3"/>
    </row>
    <row r="1469" ht="18.75">
      <c r="AS1469" s="3"/>
    </row>
    <row r="1470" ht="18.75">
      <c r="AS1470" s="3"/>
    </row>
    <row r="1471" ht="18.75">
      <c r="AS1471" s="3"/>
    </row>
    <row r="1472" ht="18.75">
      <c r="AS1472" s="3"/>
    </row>
    <row r="1473" ht="18.75">
      <c r="AS1473" s="3"/>
    </row>
    <row r="1474" ht="18.75">
      <c r="AS1474" s="3"/>
    </row>
    <row r="1475" ht="18.75">
      <c r="AS1475" s="3"/>
    </row>
    <row r="1476" ht="18.75">
      <c r="AS1476" s="3"/>
    </row>
    <row r="1477" ht="18.75">
      <c r="AS1477" s="3"/>
    </row>
    <row r="1478" ht="18.75">
      <c r="AS1478" s="3"/>
    </row>
    <row r="1479" ht="18.75">
      <c r="AS1479" s="3"/>
    </row>
    <row r="1480" ht="18.75">
      <c r="AS1480" s="3"/>
    </row>
    <row r="1481" ht="18.75">
      <c r="AS1481" s="3"/>
    </row>
    <row r="1482" ht="18.75">
      <c r="AS1482" s="3"/>
    </row>
    <row r="1483" ht="18.75">
      <c r="AS1483" s="3"/>
    </row>
    <row r="1484" ht="18.75">
      <c r="AS1484" s="3"/>
    </row>
    <row r="1485" ht="18.75">
      <c r="AS1485" s="3"/>
    </row>
    <row r="1486" ht="18.75">
      <c r="AS1486" s="3"/>
    </row>
    <row r="1487" ht="18.75">
      <c r="AS1487" s="3"/>
    </row>
    <row r="1488" ht="18.75">
      <c r="AS1488" s="3"/>
    </row>
    <row r="1489" ht="18.75">
      <c r="AS1489" s="3"/>
    </row>
    <row r="1490" ht="18.75">
      <c r="AS1490" s="3"/>
    </row>
    <row r="1491" ht="18.75">
      <c r="AS1491" s="3"/>
    </row>
    <row r="1492" ht="18.75">
      <c r="AS1492" s="3"/>
    </row>
    <row r="1493" ht="18.75">
      <c r="AS1493" s="3"/>
    </row>
    <row r="1494" ht="18.75">
      <c r="AS1494" s="3"/>
    </row>
    <row r="1495" ht="18.75">
      <c r="AS1495" s="3"/>
    </row>
    <row r="1496" ht="18.75">
      <c r="AS1496" s="3"/>
    </row>
    <row r="1497" ht="18.75">
      <c r="AS1497" s="3"/>
    </row>
    <row r="1498" ht="18.75">
      <c r="AS1498" s="3"/>
    </row>
    <row r="1499" ht="18.75">
      <c r="AS1499" s="3"/>
    </row>
    <row r="1500" ht="18.75">
      <c r="AS1500" s="3"/>
    </row>
    <row r="1501" ht="18.75">
      <c r="AS1501" s="3"/>
    </row>
    <row r="1502" ht="18.75">
      <c r="AS1502" s="3"/>
    </row>
    <row r="1503" ht="18.75">
      <c r="AS1503" s="3"/>
    </row>
    <row r="1504" ht="18.75">
      <c r="AS1504" s="3"/>
    </row>
    <row r="1505" ht="18.75">
      <c r="AS1505" s="3"/>
    </row>
    <row r="1506" ht="18.75">
      <c r="AS1506" s="3"/>
    </row>
    <row r="1507" ht="18.75">
      <c r="AS1507" s="3"/>
    </row>
    <row r="1508" ht="18.75">
      <c r="AS1508" s="3"/>
    </row>
    <row r="1509" ht="18.75">
      <c r="AS1509" s="3"/>
    </row>
    <row r="1510" ht="18.75">
      <c r="AS1510" s="3"/>
    </row>
    <row r="1511" ht="18.75">
      <c r="AS1511" s="3"/>
    </row>
    <row r="1512" ht="18.75">
      <c r="AS1512" s="3"/>
    </row>
    <row r="1513" ht="18.75">
      <c r="AS1513" s="3"/>
    </row>
    <row r="1514" ht="18.75">
      <c r="AS1514" s="3"/>
    </row>
    <row r="1515" ht="18.75">
      <c r="AS1515" s="3"/>
    </row>
    <row r="1516" ht="18.75">
      <c r="AS1516" s="3"/>
    </row>
    <row r="1517" ht="18.75">
      <c r="AS1517" s="3"/>
    </row>
    <row r="1518" ht="18.75">
      <c r="AS1518" s="3"/>
    </row>
    <row r="1519" ht="18.75">
      <c r="AS1519" s="3"/>
    </row>
    <row r="1520" ht="18.75">
      <c r="AS1520" s="3"/>
    </row>
    <row r="1521" ht="18.75">
      <c r="AS1521" s="3"/>
    </row>
    <row r="1522" ht="18.75">
      <c r="AS1522" s="3"/>
    </row>
    <row r="1523" ht="18.75">
      <c r="AS1523" s="3"/>
    </row>
  </sheetData>
  <sheetProtection/>
  <mergeCells count="150">
    <mergeCell ref="AN30:AN31"/>
    <mergeCell ref="B137:C137"/>
    <mergeCell ref="A209:A210"/>
    <mergeCell ref="B209:B210"/>
    <mergeCell ref="C209:C210"/>
    <mergeCell ref="E209:E210"/>
    <mergeCell ref="F209:F210"/>
    <mergeCell ref="AM209:AM210"/>
    <mergeCell ref="A94:A95"/>
    <mergeCell ref="AN167:AN168"/>
    <mergeCell ref="E241:E242"/>
    <mergeCell ref="F241:F242"/>
    <mergeCell ref="AM241:AM242"/>
    <mergeCell ref="AN247:AN248"/>
    <mergeCell ref="AN241:AN242"/>
    <mergeCell ref="A241:A242"/>
    <mergeCell ref="B241:B242"/>
    <mergeCell ref="C241:C242"/>
    <mergeCell ref="A247:A248"/>
    <mergeCell ref="B247:B248"/>
    <mergeCell ref="C247:C248"/>
    <mergeCell ref="E247:E248"/>
    <mergeCell ref="F247:F248"/>
    <mergeCell ref="AM247:AM248"/>
    <mergeCell ref="B86:C86"/>
    <mergeCell ref="AN89:AN90"/>
    <mergeCell ref="AN185:AN187"/>
    <mergeCell ref="AN189:AN190"/>
    <mergeCell ref="AN94:AN95"/>
    <mergeCell ref="AN141:AN142"/>
    <mergeCell ref="AN169:AN170"/>
    <mergeCell ref="AN178:AN184"/>
    <mergeCell ref="AN171:AN173"/>
    <mergeCell ref="AN44:AN46"/>
    <mergeCell ref="AN47:AN49"/>
    <mergeCell ref="AN56:AN59"/>
    <mergeCell ref="AN148:AN154"/>
    <mergeCell ref="AR72:AR73"/>
    <mergeCell ref="AO72:AO73"/>
    <mergeCell ref="AP72:AP73"/>
    <mergeCell ref="AS72:AS73"/>
    <mergeCell ref="B72:B73"/>
    <mergeCell ref="AM72:AM73"/>
    <mergeCell ref="AQ72:AQ73"/>
    <mergeCell ref="AR37:AR38"/>
    <mergeCell ref="AS37:AS38"/>
    <mergeCell ref="AN37:AN38"/>
    <mergeCell ref="AO37:AO38"/>
    <mergeCell ref="F37:F38"/>
    <mergeCell ref="AM37:AM38"/>
    <mergeCell ref="AN34:AN36"/>
    <mergeCell ref="AO34:AO36"/>
    <mergeCell ref="AP34:AP36"/>
    <mergeCell ref="AQ34:AQ36"/>
    <mergeCell ref="A37:A38"/>
    <mergeCell ref="B37:B38"/>
    <mergeCell ref="C37:C38"/>
    <mergeCell ref="E37:E38"/>
    <mergeCell ref="AP37:AP38"/>
    <mergeCell ref="AQ37:AQ38"/>
    <mergeCell ref="AR21:AR25"/>
    <mergeCell ref="AS21:AS25"/>
    <mergeCell ref="AR34:AR36"/>
    <mergeCell ref="AS34:AS36"/>
    <mergeCell ref="A34:A36"/>
    <mergeCell ref="B34:B36"/>
    <mergeCell ref="C34:C36"/>
    <mergeCell ref="E34:E36"/>
    <mergeCell ref="F34:F36"/>
    <mergeCell ref="AM34:AM36"/>
    <mergeCell ref="A20:B20"/>
    <mergeCell ref="B15:B17"/>
    <mergeCell ref="C15:C17"/>
    <mergeCell ref="AP21:AP25"/>
    <mergeCell ref="AQ21:AQ25"/>
    <mergeCell ref="A21:A25"/>
    <mergeCell ref="B21:B25"/>
    <mergeCell ref="AM21:AM25"/>
    <mergeCell ref="AN21:AN25"/>
    <mergeCell ref="AO21:AO25"/>
    <mergeCell ref="AN27:AN29"/>
    <mergeCell ref="AR12:AR14"/>
    <mergeCell ref="AS12:AS14"/>
    <mergeCell ref="C13:C14"/>
    <mergeCell ref="AQ15:AQ17"/>
    <mergeCell ref="AR15:AR17"/>
    <mergeCell ref="AS15:AS17"/>
    <mergeCell ref="AP15:AP17"/>
    <mergeCell ref="AP12:AP14"/>
    <mergeCell ref="AQ12:AQ14"/>
    <mergeCell ref="AO15:AO17"/>
    <mergeCell ref="AN4:AN5"/>
    <mergeCell ref="AO4:AO5"/>
    <mergeCell ref="AP4:AP5"/>
    <mergeCell ref="AQ4:AQ5"/>
    <mergeCell ref="B12:B14"/>
    <mergeCell ref="AN12:AN17"/>
    <mergeCell ref="AO12:AO14"/>
    <mergeCell ref="AC4:AC5"/>
    <mergeCell ref="AD4:AD5"/>
    <mergeCell ref="AR4:AR5"/>
    <mergeCell ref="AE4:AE5"/>
    <mergeCell ref="AF4:AF5"/>
    <mergeCell ref="P4:P5"/>
    <mergeCell ref="Q4:Q5"/>
    <mergeCell ref="AS4:AS5"/>
    <mergeCell ref="AG4:AG5"/>
    <mergeCell ref="AH4:AH5"/>
    <mergeCell ref="AI4:AI5"/>
    <mergeCell ref="AJ4:AJ5"/>
    <mergeCell ref="AK4:AL4"/>
    <mergeCell ref="AM4:AM5"/>
    <mergeCell ref="R4:R5"/>
    <mergeCell ref="S4:S5"/>
    <mergeCell ref="T4:Y4"/>
    <mergeCell ref="Z4:Z5"/>
    <mergeCell ref="AA4:AA5"/>
    <mergeCell ref="AB4:AB5"/>
    <mergeCell ref="J4:J5"/>
    <mergeCell ref="K4:K5"/>
    <mergeCell ref="L4:L5"/>
    <mergeCell ref="M4:M5"/>
    <mergeCell ref="H4:H5"/>
    <mergeCell ref="I4:I5"/>
    <mergeCell ref="N4:N5"/>
    <mergeCell ref="O4:O5"/>
    <mergeCell ref="AN74:AN78"/>
    <mergeCell ref="A1:AS1"/>
    <mergeCell ref="A2:AS2"/>
    <mergeCell ref="A4:A5"/>
    <mergeCell ref="B4:B5"/>
    <mergeCell ref="C4:C5"/>
    <mergeCell ref="D4:F4"/>
    <mergeCell ref="G4:G5"/>
    <mergeCell ref="AR70:AR71"/>
    <mergeCell ref="AS70:AS71"/>
    <mergeCell ref="AN155:AN161"/>
    <mergeCell ref="B87:C87"/>
    <mergeCell ref="AO94:AO95"/>
    <mergeCell ref="AR94:AR95"/>
    <mergeCell ref="AN104:AN105"/>
    <mergeCell ref="AN110:AN113"/>
    <mergeCell ref="AN119:AN122"/>
    <mergeCell ref="AN123:AN125"/>
    <mergeCell ref="A70:A73"/>
    <mergeCell ref="AN70:AN73"/>
    <mergeCell ref="B79:C79"/>
    <mergeCell ref="B70:B71"/>
    <mergeCell ref="AP70:AP71"/>
    <mergeCell ref="AQ70:AQ71"/>
  </mergeCells>
  <printOptions/>
  <pageMargins left="0.75" right="0.75" top="1" bottom="1" header="0.5" footer="0.5"/>
  <pageSetup horizontalDpi="600" verticalDpi="600" orientation="portrait" paperSize="9" scale="46" r:id="rId3"/>
  <rowBreaks count="2" manualBreakCount="2">
    <brk id="59" max="44" man="1"/>
    <brk id="115" max="44" man="1"/>
  </rowBreaks>
  <colBreaks count="1" manualBreakCount="1">
    <brk id="4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Ирина</cp:lastModifiedBy>
  <cp:lastPrinted>2015-10-09T04:28:57Z</cp:lastPrinted>
  <dcterms:created xsi:type="dcterms:W3CDTF">2009-09-12T05:10:01Z</dcterms:created>
  <dcterms:modified xsi:type="dcterms:W3CDTF">2020-04-06T11:02:28Z</dcterms:modified>
  <cp:category/>
  <cp:version/>
  <cp:contentType/>
  <cp:contentStatus/>
</cp:coreProperties>
</file>